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707AB5D5-A6E4-CC43-A5D2-A6BC67CD9667}" xr6:coauthVersionLast="45" xr6:coauthVersionMax="45" xr10:uidLastSave="{00000000-0000-0000-0000-000000000000}"/>
  <bookViews>
    <workbookView xWindow="0" yWindow="440" windowWidth="38400" windowHeight="23560" tabRatio="905" xr2:uid="{00000000-000D-0000-FFFF-FFFF00000000}"/>
  </bookViews>
  <sheets>
    <sheet name="ხ.2-1-1" sheetId="6" r:id="rId1"/>
    <sheet name="ხ.4. გარე კანალიზაცია" sheetId="18" r:id="rId2"/>
    <sheet name="ხ. 5 დრენაჟი" sheetId="19" r:id="rId3"/>
    <sheet name="მოცულ. რ.ბ" sheetId="1" r:id="rId4"/>
    <sheet name="მოცულ. არქიტ." sheetId="11" r:id="rId5"/>
    <sheet name="საინჟინრო  მოცულობა" sheetId="13" r:id="rId6"/>
  </sheets>
  <definedNames>
    <definedName name="_xlnm._FilterDatabase" localSheetId="0" hidden="1">'ხ.2-1-1'!$A$16:$M$304</definedName>
    <definedName name="_xlnm.Print_Area" localSheetId="2">'ხ. 5 დრენაჟი'!$A$1:$M$81</definedName>
    <definedName name="_xlnm.Print_Area" localSheetId="0">'ხ.2-1-1'!$A$2:$M$307</definedName>
    <definedName name="_xlnm.Print_Area" localSheetId="1">'ხ.4. გარე კანალიზაცია'!$A$1:$M$67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8" l="1"/>
  <c r="F56" i="18"/>
  <c r="F32" i="18"/>
  <c r="F15" i="18"/>
  <c r="F16" i="18" s="1"/>
  <c r="F17" i="18" s="1"/>
  <c r="F51" i="18"/>
  <c r="F50" i="18"/>
  <c r="F49" i="18"/>
  <c r="F45" i="18"/>
  <c r="F46" i="18" s="1"/>
  <c r="F47" i="18" s="1"/>
  <c r="F37" i="18"/>
  <c r="F41" i="18" s="1"/>
  <c r="E30" i="18"/>
  <c r="F59" i="19"/>
  <c r="F60" i="19" s="1"/>
  <c r="F68" i="19" s="1"/>
  <c r="F26" i="19"/>
  <c r="F37" i="19" s="1"/>
  <c r="F38" i="19" s="1"/>
  <c r="F40" i="19" s="1"/>
  <c r="F15" i="19"/>
  <c r="F24" i="19" s="1"/>
  <c r="F25" i="19" s="1"/>
  <c r="F65" i="19"/>
  <c r="F64" i="19"/>
  <c r="F63" i="19"/>
  <c r="E56" i="19"/>
  <c r="F27" i="19" l="1"/>
  <c r="F31" i="19" s="1"/>
  <c r="F25" i="18"/>
  <c r="F28" i="18" s="1"/>
  <c r="F30" i="18" s="1"/>
  <c r="F20" i="18"/>
  <c r="F21" i="18" s="1"/>
  <c r="F38" i="18"/>
  <c r="F22" i="18"/>
  <c r="F23" i="18" s="1"/>
  <c r="F24" i="18" s="1"/>
  <c r="F40" i="18"/>
  <c r="F42" i="18" s="1"/>
  <c r="F33" i="18"/>
  <c r="F34" i="18" s="1"/>
  <c r="F19" i="18"/>
  <c r="F39" i="18"/>
  <c r="F53" i="18"/>
  <c r="F54" i="18"/>
  <c r="F18" i="18"/>
  <c r="F48" i="18"/>
  <c r="F52" i="18"/>
  <c r="F42" i="19"/>
  <c r="F43" i="19" s="1"/>
  <c r="F44" i="19" s="1"/>
  <c r="F16" i="19"/>
  <c r="F20" i="19" s="1"/>
  <c r="F32" i="19"/>
  <c r="F33" i="19" s="1"/>
  <c r="F35" i="19" s="1"/>
  <c r="F21" i="19"/>
  <c r="F22" i="19" s="1"/>
  <c r="F23" i="19" s="1"/>
  <c r="F30" i="19"/>
  <c r="F39" i="19"/>
  <c r="F29" i="19"/>
  <c r="F61" i="19"/>
  <c r="F66" i="19"/>
  <c r="F28" i="19"/>
  <c r="F62" i="19"/>
  <c r="F67" i="19"/>
  <c r="F26" i="18" l="1"/>
  <c r="F27" i="18" s="1"/>
  <c r="F35" i="18"/>
  <c r="H58" i="18" s="1"/>
  <c r="L59" i="18" s="1"/>
  <c r="M59" i="18" s="1"/>
  <c r="F29" i="18"/>
  <c r="J58" i="18" s="1"/>
  <c r="L10" i="18" s="1"/>
  <c r="F31" i="18"/>
  <c r="F45" i="19"/>
  <c r="F17" i="19"/>
  <c r="F34" i="19"/>
  <c r="F18" i="19"/>
  <c r="F19" i="19"/>
  <c r="F47" i="19"/>
  <c r="F52" i="19" s="1"/>
  <c r="L58" i="18" l="1"/>
  <c r="M58" i="18"/>
  <c r="M60" i="18" s="1"/>
  <c r="M61" i="18" s="1"/>
  <c r="M62" i="18" s="1"/>
  <c r="M63" i="18" s="1"/>
  <c r="M64" i="18" s="1"/>
  <c r="F53" i="19"/>
  <c r="F51" i="19"/>
  <c r="H70" i="19" s="1"/>
  <c r="L71" i="19" s="1"/>
  <c r="M71" i="19" s="1"/>
  <c r="F48" i="19"/>
  <c r="L9" i="18" l="1"/>
  <c r="F50" i="19"/>
  <c r="F49" i="19"/>
  <c r="F55" i="19"/>
  <c r="F56" i="19"/>
  <c r="F54" i="19"/>
  <c r="J70" i="19" l="1"/>
  <c r="L10" i="19" s="1"/>
  <c r="L70" i="19"/>
  <c r="M70" i="19" l="1"/>
  <c r="M72" i="19" s="1"/>
  <c r="M73" i="19" s="1"/>
  <c r="M74" i="19" s="1"/>
  <c r="M75" i="19" s="1"/>
  <c r="M76" i="19" s="1"/>
  <c r="L9" i="19" l="1"/>
  <c r="F28" i="13" l="1"/>
  <c r="F29" i="13" l="1"/>
  <c r="F26" i="13"/>
  <c r="F25" i="13"/>
  <c r="F15" i="13"/>
  <c r="F11" i="13"/>
  <c r="F10" i="13"/>
  <c r="G183" i="11" l="1"/>
  <c r="F73" i="6"/>
  <c r="F74" i="6" l="1"/>
  <c r="F88" i="6" s="1"/>
  <c r="F80" i="6" l="1"/>
  <c r="F86" i="6"/>
  <c r="F91" i="6"/>
  <c r="F75" i="6"/>
  <c r="F87" i="6"/>
  <c r="F90" i="6"/>
  <c r="F89" i="6"/>
  <c r="F84" i="6"/>
  <c r="F82" i="6"/>
  <c r="F81" i="6"/>
  <c r="F83" i="6"/>
  <c r="F85" i="6"/>
  <c r="F77" i="6"/>
  <c r="F79" i="6"/>
  <c r="F78" i="6"/>
  <c r="F76" i="6"/>
  <c r="O73" i="6" l="1"/>
  <c r="N73" i="6" s="1"/>
  <c r="F289" i="6" l="1"/>
  <c r="F271" i="6"/>
  <c r="E275" i="6"/>
  <c r="I107" i="1"/>
  <c r="K107" i="1" s="1"/>
  <c r="F278" i="6" s="1"/>
  <c r="F279" i="6" s="1"/>
  <c r="F282" i="6" s="1"/>
  <c r="I104" i="1"/>
  <c r="K104" i="1"/>
  <c r="F267" i="6" s="1"/>
  <c r="F268" i="6" s="1"/>
  <c r="I105" i="1"/>
  <c r="K105" i="1" s="1"/>
  <c r="F285" i="6" s="1"/>
  <c r="F286" i="6" l="1"/>
  <c r="F281" i="6"/>
  <c r="F280" i="6"/>
  <c r="F283" i="6"/>
  <c r="F277" i="6"/>
  <c r="F276" i="6"/>
  <c r="F275" i="6"/>
  <c r="F269" i="6"/>
  <c r="F270" i="6"/>
  <c r="F273" i="6"/>
  <c r="F272" i="6"/>
  <c r="O278" i="6" l="1"/>
  <c r="F291" i="6"/>
  <c r="F292" i="6"/>
  <c r="F293" i="6"/>
  <c r="F290" i="6"/>
  <c r="F288" i="6"/>
  <c r="F287" i="6"/>
  <c r="F274" i="6"/>
  <c r="J294" i="6" l="1"/>
  <c r="O266" i="6"/>
  <c r="L294" i="6"/>
  <c r="O285" i="6"/>
  <c r="N285" i="6" s="1"/>
  <c r="H294" i="6" l="1"/>
  <c r="M294" i="6"/>
  <c r="D226" i="11" l="1"/>
  <c r="E229" i="11" l="1"/>
  <c r="D229" i="11"/>
  <c r="C229" i="11" s="1"/>
  <c r="D233" i="11"/>
  <c r="F233" i="11"/>
  <c r="C143" i="11"/>
  <c r="C160" i="11"/>
  <c r="O177" i="11"/>
  <c r="N177" i="11"/>
  <c r="M177" i="11"/>
  <c r="L177" i="11"/>
  <c r="K177" i="11"/>
  <c r="J177" i="11"/>
  <c r="I177" i="11"/>
  <c r="P177" i="11" s="1"/>
  <c r="G177" i="11"/>
  <c r="G173" i="11"/>
  <c r="C173" i="11" s="1"/>
  <c r="G174" i="11"/>
  <c r="C174" i="11" s="1"/>
  <c r="I172" i="11"/>
  <c r="P172" i="11" s="1"/>
  <c r="C172" i="11" s="1"/>
  <c r="G172" i="11"/>
  <c r="G158" i="11"/>
  <c r="C158" i="11" s="1"/>
  <c r="G161" i="11"/>
  <c r="G165" i="11"/>
  <c r="G168" i="11"/>
  <c r="N168" i="11"/>
  <c r="M168" i="11"/>
  <c r="L168" i="11"/>
  <c r="K168" i="11"/>
  <c r="J168" i="11"/>
  <c r="I168" i="11"/>
  <c r="L165" i="11"/>
  <c r="K165" i="11"/>
  <c r="J165" i="11"/>
  <c r="I165" i="11"/>
  <c r="K161" i="11"/>
  <c r="J161" i="11"/>
  <c r="I161" i="11"/>
  <c r="P161" i="11" s="1"/>
  <c r="F159" i="11"/>
  <c r="G159" i="11" s="1"/>
  <c r="C159" i="11" s="1"/>
  <c r="J157" i="11"/>
  <c r="I157" i="11"/>
  <c r="F157" i="11"/>
  <c r="G157" i="11" s="1"/>
  <c r="E155" i="11"/>
  <c r="G155" i="11" s="1"/>
  <c r="C155" i="11" s="1"/>
  <c r="G147" i="11"/>
  <c r="C147" i="11" s="1"/>
  <c r="G148" i="11"/>
  <c r="C148" i="11" s="1"/>
  <c r="G146" i="11"/>
  <c r="C146" i="11" s="1"/>
  <c r="G142" i="11"/>
  <c r="F77" i="11"/>
  <c r="F76" i="11"/>
  <c r="P157" i="11" l="1"/>
  <c r="P165" i="11"/>
  <c r="C165" i="11" s="1"/>
  <c r="P168" i="11"/>
  <c r="C157" i="11"/>
  <c r="G179" i="11"/>
  <c r="C161" i="11"/>
  <c r="C233" i="11"/>
  <c r="C168" i="11"/>
  <c r="C177" i="11"/>
  <c r="G180" i="11"/>
  <c r="C142" i="11"/>
  <c r="E34" i="11"/>
  <c r="F33" i="11"/>
  <c r="F32" i="11"/>
  <c r="E31" i="11"/>
  <c r="C180" i="11" l="1"/>
  <c r="C179" i="11"/>
  <c r="E120" i="11" l="1"/>
  <c r="G120" i="11"/>
  <c r="Y112" i="11"/>
  <c r="AA112" i="11"/>
  <c r="AC112" i="11"/>
  <c r="AH112" i="11"/>
  <c r="U112" i="11"/>
  <c r="G112" i="11"/>
  <c r="E112" i="11"/>
  <c r="Y114" i="11"/>
  <c r="Z114" i="11"/>
  <c r="AH114" i="11"/>
  <c r="G114" i="11"/>
  <c r="H114" i="11" s="1"/>
  <c r="AA116" i="11"/>
  <c r="AB116" i="11"/>
  <c r="Y116" i="11"/>
  <c r="G116" i="11"/>
  <c r="H116" i="11" s="1"/>
  <c r="G122" i="11"/>
  <c r="H122" i="11" s="1"/>
  <c r="G118" i="11"/>
  <c r="H118" i="11" s="1"/>
  <c r="G124" i="11"/>
  <c r="H124" i="11" s="1"/>
  <c r="X98" i="11"/>
  <c r="AG98" i="11"/>
  <c r="W98" i="11"/>
  <c r="P110" i="11"/>
  <c r="P120" i="11" s="1"/>
  <c r="I120" i="11" s="1"/>
  <c r="S96" i="11"/>
  <c r="R96" i="11"/>
  <c r="V94" i="11"/>
  <c r="Q92" i="11"/>
  <c r="S92" i="11"/>
  <c r="V92" i="11"/>
  <c r="AI92" i="11"/>
  <c r="G102" i="11"/>
  <c r="E102" i="11"/>
  <c r="G96" i="11"/>
  <c r="E96" i="11"/>
  <c r="G92" i="11"/>
  <c r="E94" i="11"/>
  <c r="E92" i="11"/>
  <c r="G94" i="11"/>
  <c r="G98" i="11"/>
  <c r="H98" i="11" s="1"/>
  <c r="G100" i="11"/>
  <c r="H100" i="11" s="1"/>
  <c r="P82" i="11"/>
  <c r="P87" i="11" s="1"/>
  <c r="I87" i="11" s="1"/>
  <c r="G87" i="11"/>
  <c r="H87" i="11" s="1"/>
  <c r="H37" i="11"/>
  <c r="E45" i="11"/>
  <c r="H53" i="11"/>
  <c r="H52" i="11"/>
  <c r="E51" i="11"/>
  <c r="E50" i="11"/>
  <c r="G49" i="11"/>
  <c r="F48" i="11"/>
  <c r="E47" i="11"/>
  <c r="E46" i="11"/>
  <c r="C36" i="11"/>
  <c r="G36" i="11" s="1"/>
  <c r="F35" i="11"/>
  <c r="J38" i="11"/>
  <c r="F26" i="11"/>
  <c r="I25" i="11"/>
  <c r="C54" i="11"/>
  <c r="C60" i="11"/>
  <c r="I96" i="11" l="1"/>
  <c r="P118" i="11"/>
  <c r="I118" i="11" s="1"/>
  <c r="P124" i="11"/>
  <c r="I124" i="11" s="1"/>
  <c r="P122" i="11"/>
  <c r="I122" i="11" s="1"/>
  <c r="J122" i="11" s="1"/>
  <c r="H112" i="11"/>
  <c r="P98" i="11"/>
  <c r="I98" i="11" s="1"/>
  <c r="J98" i="11" s="1"/>
  <c r="P114" i="11"/>
  <c r="I114" i="11" s="1"/>
  <c r="H92" i="11"/>
  <c r="H102" i="11"/>
  <c r="P116" i="11"/>
  <c r="I116" i="11" s="1"/>
  <c r="J116" i="11" s="1"/>
  <c r="C39" i="11"/>
  <c r="H120" i="11"/>
  <c r="J120" i="11" s="1"/>
  <c r="I112" i="11"/>
  <c r="J112" i="11" s="1"/>
  <c r="J114" i="11"/>
  <c r="J118" i="11"/>
  <c r="J124" i="11"/>
  <c r="H96" i="11"/>
  <c r="J96" i="11" s="1"/>
  <c r="P94" i="11"/>
  <c r="P102" i="11"/>
  <c r="I102" i="11" s="1"/>
  <c r="J102" i="11" s="1"/>
  <c r="P92" i="11"/>
  <c r="I92" i="11" s="1"/>
  <c r="P100" i="11"/>
  <c r="I100" i="11" s="1"/>
  <c r="I94" i="11"/>
  <c r="H94" i="11"/>
  <c r="J100" i="11"/>
  <c r="J87" i="11"/>
  <c r="J16" i="11"/>
  <c r="Y16" i="11"/>
  <c r="Z16" i="11"/>
  <c r="AA16" i="11"/>
  <c r="AB16" i="11"/>
  <c r="AC16" i="11"/>
  <c r="AG16" i="11"/>
  <c r="U16" i="11"/>
  <c r="E16" i="11"/>
  <c r="K7" i="11"/>
  <c r="K11" i="11"/>
  <c r="K16" i="11"/>
  <c r="F16" i="11"/>
  <c r="J11" i="11"/>
  <c r="S11" i="11"/>
  <c r="T11" i="11"/>
  <c r="V11" i="11"/>
  <c r="W11" i="11"/>
  <c r="X11" i="11"/>
  <c r="AI11" i="11"/>
  <c r="AG11" i="11"/>
  <c r="R11" i="11"/>
  <c r="G12" i="11"/>
  <c r="H12" i="11"/>
  <c r="F11" i="11"/>
  <c r="F7" i="11"/>
  <c r="E11" i="11"/>
  <c r="G220" i="11"/>
  <c r="I220" i="11" s="1"/>
  <c r="AE7" i="11"/>
  <c r="AJ7" i="11"/>
  <c r="AK7" i="11"/>
  <c r="AD7" i="11"/>
  <c r="G214" i="11"/>
  <c r="I214" i="11" s="1"/>
  <c r="G221" i="11"/>
  <c r="I221" i="11" s="1"/>
  <c r="G226" i="11"/>
  <c r="I226" i="11" s="1"/>
  <c r="E7" i="11"/>
  <c r="P5" i="11"/>
  <c r="P7" i="11" s="1"/>
  <c r="M7" i="11" s="1"/>
  <c r="J7" i="11"/>
  <c r="G215" i="11"/>
  <c r="I215" i="11" s="1"/>
  <c r="G201" i="11"/>
  <c r="I201" i="11" s="1"/>
  <c r="G202" i="11"/>
  <c r="I202" i="11" s="1"/>
  <c r="G203" i="11"/>
  <c r="I203" i="11" s="1"/>
  <c r="G204" i="11"/>
  <c r="I204" i="11" s="1"/>
  <c r="G205" i="11"/>
  <c r="I205" i="11" s="1"/>
  <c r="G206" i="11"/>
  <c r="I206" i="11" s="1"/>
  <c r="G207" i="11"/>
  <c r="I207" i="11" s="1"/>
  <c r="G208" i="11"/>
  <c r="I208" i="11" s="1"/>
  <c r="G209" i="11"/>
  <c r="I209" i="11" s="1"/>
  <c r="G210" i="11"/>
  <c r="I210" i="11" s="1"/>
  <c r="G200" i="11"/>
  <c r="I200" i="11" s="1"/>
  <c r="G193" i="11"/>
  <c r="I193" i="11" s="1"/>
  <c r="G194" i="11"/>
  <c r="I194" i="11" s="1"/>
  <c r="G195" i="11"/>
  <c r="I195" i="11" s="1"/>
  <c r="G196" i="11"/>
  <c r="I196" i="11" s="1"/>
  <c r="G192" i="11"/>
  <c r="I192" i="11" s="1"/>
  <c r="C128" i="11"/>
  <c r="C106" i="11"/>
  <c r="C58" i="11"/>
  <c r="D74" i="11"/>
  <c r="C59" i="11" s="1"/>
  <c r="D72" i="11"/>
  <c r="D75" i="11" s="1"/>
  <c r="E69" i="11"/>
  <c r="E70" i="11"/>
  <c r="E71" i="11"/>
  <c r="E68" i="11"/>
  <c r="F69" i="11"/>
  <c r="F70" i="11"/>
  <c r="F71" i="11"/>
  <c r="F68" i="11"/>
  <c r="G16" i="11" l="1"/>
  <c r="J92" i="11"/>
  <c r="I106" i="11"/>
  <c r="H106" i="11"/>
  <c r="J94" i="11"/>
  <c r="I12" i="11"/>
  <c r="L16" i="11"/>
  <c r="H16" i="11"/>
  <c r="I16" i="11" s="1"/>
  <c r="P16" i="11"/>
  <c r="M16" i="11" s="1"/>
  <c r="H7" i="11"/>
  <c r="H11" i="11"/>
  <c r="P11" i="11"/>
  <c r="M11" i="11" s="1"/>
  <c r="L11" i="11"/>
  <c r="I222" i="11"/>
  <c r="G11" i="11"/>
  <c r="I11" i="11" s="1"/>
  <c r="G7" i="11"/>
  <c r="L7" i="11"/>
  <c r="N7" i="11" s="1"/>
  <c r="I217" i="11"/>
  <c r="G71" i="11"/>
  <c r="I197" i="11"/>
  <c r="I211" i="11"/>
  <c r="G69" i="11"/>
  <c r="G68" i="11"/>
  <c r="G70" i="11"/>
  <c r="J106" i="11" l="1"/>
  <c r="N16" i="11"/>
  <c r="I7" i="11"/>
  <c r="N11" i="11"/>
  <c r="G72" i="11"/>
  <c r="D73" i="11" s="1"/>
  <c r="E224" i="6" l="1"/>
  <c r="E162" i="6"/>
  <c r="N95" i="1"/>
  <c r="Z95" i="1" s="1"/>
  <c r="F215" i="6" s="1"/>
  <c r="F216" i="6" s="1"/>
  <c r="F219" i="6" s="1"/>
  <c r="L95" i="1"/>
  <c r="X95" i="1" s="1"/>
  <c r="Y95" i="1" s="1"/>
  <c r="F220" i="6" s="1"/>
  <c r="I95" i="1"/>
  <c r="U95" i="1" s="1"/>
  <c r="N92" i="1"/>
  <c r="Z92" i="1" s="1"/>
  <c r="L92" i="1"/>
  <c r="X92" i="1" s="1"/>
  <c r="Y92" i="1" s="1"/>
  <c r="F158" i="6" s="1"/>
  <c r="I92" i="1"/>
  <c r="V95" i="1"/>
  <c r="T95" i="1"/>
  <c r="S95" i="1"/>
  <c r="R95" i="1"/>
  <c r="Q95" i="1"/>
  <c r="P95" i="1"/>
  <c r="F240" i="6"/>
  <c r="F179" i="6"/>
  <c r="F117" i="6"/>
  <c r="S29" i="1"/>
  <c r="V29" i="1"/>
  <c r="U92" i="1"/>
  <c r="T92" i="1"/>
  <c r="S92" i="1"/>
  <c r="R92" i="1"/>
  <c r="Q92" i="1"/>
  <c r="P92" i="1"/>
  <c r="V92" i="1"/>
  <c r="L87" i="1"/>
  <c r="X87" i="1" s="1"/>
  <c r="Y87" i="1" s="1"/>
  <c r="J87" i="1"/>
  <c r="Z87" i="1"/>
  <c r="U87" i="1"/>
  <c r="T87" i="1"/>
  <c r="S87" i="1"/>
  <c r="R87" i="1"/>
  <c r="Q87" i="1"/>
  <c r="P87" i="1"/>
  <c r="V87" i="1"/>
  <c r="J80" i="1"/>
  <c r="V80" i="1" s="1"/>
  <c r="L80" i="1"/>
  <c r="Z80" i="1"/>
  <c r="F252" i="6" s="1"/>
  <c r="F253" i="6" s="1"/>
  <c r="F260" i="6" s="1"/>
  <c r="U80" i="1"/>
  <c r="T80" i="1"/>
  <c r="S80" i="1"/>
  <c r="R80" i="1"/>
  <c r="Q80" i="1"/>
  <c r="P80" i="1"/>
  <c r="X80" i="1"/>
  <c r="Y80" i="1" s="1"/>
  <c r="F256" i="6" s="1"/>
  <c r="L75" i="1"/>
  <c r="X75" i="1" s="1"/>
  <c r="Y75" i="1" s="1"/>
  <c r="J75" i="1"/>
  <c r="V75" i="1" s="1"/>
  <c r="Z75" i="1"/>
  <c r="U75" i="1"/>
  <c r="T75" i="1"/>
  <c r="S75" i="1"/>
  <c r="R75" i="1"/>
  <c r="Q75" i="1"/>
  <c r="P75" i="1"/>
  <c r="Z70" i="1"/>
  <c r="F142" i="6" s="1"/>
  <c r="P70" i="1"/>
  <c r="Q70" i="1"/>
  <c r="R70" i="1"/>
  <c r="S70" i="1"/>
  <c r="T70" i="1"/>
  <c r="U70" i="1"/>
  <c r="L70" i="1"/>
  <c r="X70" i="1" s="1"/>
  <c r="J70" i="1"/>
  <c r="V70" i="1" s="1"/>
  <c r="Z74" i="1"/>
  <c r="F191" i="6" s="1"/>
  <c r="V79" i="1"/>
  <c r="U79" i="1"/>
  <c r="T79" i="1"/>
  <c r="S79" i="1"/>
  <c r="Q79" i="1"/>
  <c r="P79" i="1"/>
  <c r="V74" i="1"/>
  <c r="U74" i="1"/>
  <c r="T74" i="1"/>
  <c r="S74" i="1"/>
  <c r="Q74" i="1"/>
  <c r="P74" i="1"/>
  <c r="Z69" i="1"/>
  <c r="Z82" i="1" s="1"/>
  <c r="Q69" i="1"/>
  <c r="S69" i="1"/>
  <c r="T69" i="1"/>
  <c r="U69" i="1"/>
  <c r="U82" i="1" s="1"/>
  <c r="V69" i="1"/>
  <c r="P69" i="1"/>
  <c r="L79" i="1"/>
  <c r="X79" i="1" s="1"/>
  <c r="Y79" i="1" s="1"/>
  <c r="F244" i="6" s="1"/>
  <c r="F79" i="1"/>
  <c r="R79" i="1" s="1"/>
  <c r="F69" i="1"/>
  <c r="R69" i="1" s="1"/>
  <c r="L74" i="1"/>
  <c r="X74" i="1" s="1"/>
  <c r="F74" i="1"/>
  <c r="R74" i="1" s="1"/>
  <c r="L69" i="1"/>
  <c r="X69" i="1" s="1"/>
  <c r="Q61" i="1"/>
  <c r="T61" i="1"/>
  <c r="V61" i="1"/>
  <c r="L57" i="1"/>
  <c r="X57" i="1" s="1"/>
  <c r="Y57" i="1" s="1"/>
  <c r="L56" i="1"/>
  <c r="X56" i="1" s="1"/>
  <c r="Y56" i="1" s="1"/>
  <c r="Z57" i="1"/>
  <c r="R57" i="1"/>
  <c r="P57" i="1"/>
  <c r="Z56" i="1"/>
  <c r="F228" i="6" s="1"/>
  <c r="R56" i="1"/>
  <c r="P56" i="1"/>
  <c r="L48" i="1"/>
  <c r="X48" i="1" s="1"/>
  <c r="Y48" i="1" s="1"/>
  <c r="L47" i="1"/>
  <c r="X47" i="1" s="1"/>
  <c r="Y47" i="1" s="1"/>
  <c r="P47" i="1"/>
  <c r="Y52" i="1"/>
  <c r="F183" i="6" s="1"/>
  <c r="W52" i="1"/>
  <c r="F184" i="6" s="1"/>
  <c r="Z48" i="1"/>
  <c r="R48" i="1"/>
  <c r="P48" i="1"/>
  <c r="Z47" i="1"/>
  <c r="F167" i="6" s="1"/>
  <c r="R47" i="1"/>
  <c r="X42" i="1"/>
  <c r="U42" i="1"/>
  <c r="U61" i="1" s="1"/>
  <c r="P38" i="1"/>
  <c r="L38" i="1"/>
  <c r="L37" i="1"/>
  <c r="D37" i="1"/>
  <c r="P37" i="1" s="1"/>
  <c r="R36" i="1"/>
  <c r="L36" i="1"/>
  <c r="X36" i="1" s="1"/>
  <c r="D36" i="1"/>
  <c r="P36" i="1" s="1"/>
  <c r="F35" i="1"/>
  <c r="T82" i="1" l="1"/>
  <c r="S82" i="1"/>
  <c r="F171" i="6"/>
  <c r="F232" i="6"/>
  <c r="X82" i="1"/>
  <c r="P82" i="1"/>
  <c r="Q82" i="1"/>
  <c r="R82" i="1"/>
  <c r="V82" i="1"/>
  <c r="V98" i="1" s="1"/>
  <c r="W95" i="1"/>
  <c r="F221" i="6" s="1"/>
  <c r="F153" i="6"/>
  <c r="F154" i="6" s="1"/>
  <c r="F157" i="6" s="1"/>
  <c r="F129" i="6"/>
  <c r="F224" i="6"/>
  <c r="F217" i="6"/>
  <c r="F225" i="6"/>
  <c r="F218" i="6"/>
  <c r="F222" i="6"/>
  <c r="F258" i="6"/>
  <c r="F262" i="6"/>
  <c r="F261" i="6"/>
  <c r="F254" i="6"/>
  <c r="F255" i="6"/>
  <c r="W79" i="1"/>
  <c r="F245" i="6" s="1"/>
  <c r="W70" i="1"/>
  <c r="W92" i="1"/>
  <c r="W69" i="1"/>
  <c r="W74" i="1"/>
  <c r="F197" i="6" s="1"/>
  <c r="W80" i="1"/>
  <c r="F257" i="6" s="1"/>
  <c r="W87" i="1"/>
  <c r="W75" i="1"/>
  <c r="P61" i="1"/>
  <c r="W56" i="1"/>
  <c r="W57" i="1"/>
  <c r="W47" i="1"/>
  <c r="W48" i="1"/>
  <c r="F18" i="6"/>
  <c r="P26" i="1"/>
  <c r="X25" i="1"/>
  <c r="Y25" i="1" s="1"/>
  <c r="R25" i="1"/>
  <c r="P25" i="1"/>
  <c r="P24" i="1"/>
  <c r="R24" i="1"/>
  <c r="R23" i="1"/>
  <c r="AA13" i="1"/>
  <c r="F92" i="6" s="1"/>
  <c r="F93" i="6" s="1"/>
  <c r="U13" i="1"/>
  <c r="U15" i="1" s="1"/>
  <c r="U29" i="1" s="1"/>
  <c r="U98" i="1" s="1"/>
  <c r="P13" i="1"/>
  <c r="P15" i="1" s="1"/>
  <c r="AB10" i="1"/>
  <c r="I122" i="1"/>
  <c r="I121" i="1"/>
  <c r="F233" i="6" l="1"/>
  <c r="P29" i="1"/>
  <c r="P98" i="1" s="1"/>
  <c r="F172" i="6"/>
  <c r="F155" i="6"/>
  <c r="F156" i="6"/>
  <c r="F160" i="6"/>
  <c r="F161" i="6" s="1"/>
  <c r="F162" i="6"/>
  <c r="F163" i="6"/>
  <c r="F159" i="6"/>
  <c r="W82" i="1"/>
  <c r="F135" i="6"/>
  <c r="O252" i="6"/>
  <c r="F259" i="6"/>
  <c r="F223" i="6"/>
  <c r="AA10" i="1"/>
  <c r="I125" i="1"/>
  <c r="T11" i="1"/>
  <c r="W11" i="1" s="1"/>
  <c r="W24" i="1"/>
  <c r="AD10" i="1"/>
  <c r="F57" i="6" s="1"/>
  <c r="F58" i="6" s="1"/>
  <c r="X11" i="1"/>
  <c r="X13" i="1" s="1"/>
  <c r="Y13" i="1" s="1"/>
  <c r="F96" i="6" s="1"/>
  <c r="AA11" i="1"/>
  <c r="AA15" i="1" s="1"/>
  <c r="AA29" i="1" s="1"/>
  <c r="AA98" i="1" s="1"/>
  <c r="AE10" i="1"/>
  <c r="W25" i="1"/>
  <c r="T10" i="1"/>
  <c r="I124" i="1"/>
  <c r="O215" i="6" l="1"/>
  <c r="N215" i="6" s="1"/>
  <c r="O153" i="6"/>
  <c r="N153" i="6" s="1"/>
  <c r="N252" i="6"/>
  <c r="F59" i="6"/>
  <c r="F60" i="6"/>
  <c r="F62" i="6"/>
  <c r="F61" i="6"/>
  <c r="F63" i="6"/>
  <c r="I126" i="1"/>
  <c r="AD13" i="1"/>
  <c r="Y11" i="1"/>
  <c r="X15" i="1"/>
  <c r="T13" i="1"/>
  <c r="W13" i="1" s="1"/>
  <c r="O57" i="6" l="1"/>
  <c r="N57" i="6" s="1"/>
  <c r="AE13" i="1"/>
  <c r="AE15" i="1" s="1"/>
  <c r="F51" i="6"/>
  <c r="AD15" i="1"/>
  <c r="AD29" i="1" s="1"/>
  <c r="AD98" i="1" s="1"/>
  <c r="T15" i="1"/>
  <c r="T29" i="1" s="1"/>
  <c r="T98" i="1" s="1"/>
  <c r="F129" i="1"/>
  <c r="E129" i="1"/>
  <c r="F208" i="6"/>
  <c r="F209" i="6"/>
  <c r="Y74" i="1"/>
  <c r="F196" i="6" s="1"/>
  <c r="Y70" i="1"/>
  <c r="F146" i="6" s="1"/>
  <c r="F147" i="6"/>
  <c r="Y69" i="1"/>
  <c r="Y42" i="1"/>
  <c r="F121" i="6" s="1"/>
  <c r="W42" i="1"/>
  <c r="F122" i="6" s="1"/>
  <c r="Z36" i="1"/>
  <c r="Y36" i="1"/>
  <c r="S36" i="1"/>
  <c r="Z38" i="1"/>
  <c r="X38" i="1"/>
  <c r="Y38" i="1" s="1"/>
  <c r="R38" i="1"/>
  <c r="W38" i="1" s="1"/>
  <c r="Z37" i="1"/>
  <c r="X37" i="1"/>
  <c r="Y37" i="1" s="1"/>
  <c r="R37" i="1"/>
  <c r="W37" i="1" s="1"/>
  <c r="Z35" i="1"/>
  <c r="X35" i="1"/>
  <c r="R35" i="1"/>
  <c r="X26" i="1"/>
  <c r="Y26" i="1" s="1"/>
  <c r="R26" i="1"/>
  <c r="X24" i="1"/>
  <c r="Y24" i="1" s="1"/>
  <c r="X23" i="1"/>
  <c r="Q23" i="1"/>
  <c r="Q29" i="1" s="1"/>
  <c r="Q98" i="1" s="1"/>
  <c r="Y18" i="1"/>
  <c r="W18" i="1"/>
  <c r="Y10" i="1"/>
  <c r="F70" i="6" s="1"/>
  <c r="W10" i="1"/>
  <c r="E249" i="6"/>
  <c r="F241" i="6"/>
  <c r="F251" i="6" s="1"/>
  <c r="E237" i="6"/>
  <c r="F204" i="6"/>
  <c r="F205" i="6" s="1"/>
  <c r="F207" i="6" s="1"/>
  <c r="E201" i="6"/>
  <c r="F193" i="6"/>
  <c r="E188" i="6"/>
  <c r="F180" i="6"/>
  <c r="E176" i="6"/>
  <c r="E150" i="6"/>
  <c r="F143" i="6"/>
  <c r="E139" i="6"/>
  <c r="F131" i="6"/>
  <c r="E126" i="6"/>
  <c r="F118" i="6"/>
  <c r="F120" i="6" s="1"/>
  <c r="E114" i="6"/>
  <c r="F69" i="6"/>
  <c r="E41" i="6"/>
  <c r="F29" i="6"/>
  <c r="H129" i="1" l="1"/>
  <c r="I129" i="1" s="1"/>
  <c r="R61" i="1"/>
  <c r="F105" i="6"/>
  <c r="F106" i="6" s="1"/>
  <c r="F114" i="6" s="1"/>
  <c r="W15" i="1"/>
  <c r="F71" i="6"/>
  <c r="F45" i="6"/>
  <c r="F46" i="6" s="1"/>
  <c r="AE29" i="1"/>
  <c r="AE98" i="1" s="1"/>
  <c r="X29" i="1"/>
  <c r="F134" i="6"/>
  <c r="Y82" i="1"/>
  <c r="F199" i="6"/>
  <c r="F198" i="6"/>
  <c r="W26" i="1"/>
  <c r="R29" i="1"/>
  <c r="Z61" i="1"/>
  <c r="Z98" i="1" s="1"/>
  <c r="F101" i="6"/>
  <c r="W35" i="1"/>
  <c r="Y35" i="1"/>
  <c r="X61" i="1"/>
  <c r="W36" i="1"/>
  <c r="S61" i="1"/>
  <c r="S98" i="1" s="1"/>
  <c r="F229" i="6"/>
  <c r="F237" i="6" s="1"/>
  <c r="F168" i="6"/>
  <c r="F170" i="6" s="1"/>
  <c r="Y15" i="1"/>
  <c r="F119" i="6"/>
  <c r="F65" i="6"/>
  <c r="F64" i="6"/>
  <c r="F126" i="6"/>
  <c r="F206" i="6"/>
  <c r="F68" i="6"/>
  <c r="F66" i="6"/>
  <c r="F72" i="6"/>
  <c r="F201" i="6"/>
  <c r="F30" i="6"/>
  <c r="F36" i="6"/>
  <c r="F34" i="6"/>
  <c r="F35" i="6" s="1"/>
  <c r="F95" i="6"/>
  <c r="F94" i="6"/>
  <c r="F102" i="6"/>
  <c r="F100" i="6"/>
  <c r="F141" i="6"/>
  <c r="F136" i="6"/>
  <c r="F137" i="6"/>
  <c r="F133" i="6"/>
  <c r="F132" i="6"/>
  <c r="F140" i="6"/>
  <c r="F185" i="6"/>
  <c r="F188" i="6"/>
  <c r="F186" i="6"/>
  <c r="F182" i="6"/>
  <c r="F181" i="6"/>
  <c r="F189" i="6"/>
  <c r="F127" i="6"/>
  <c r="F128" i="6"/>
  <c r="F123" i="6"/>
  <c r="F124" i="6"/>
  <c r="F125" i="6" s="1"/>
  <c r="F148" i="6"/>
  <c r="F151" i="6"/>
  <c r="F145" i="6"/>
  <c r="F144" i="6"/>
  <c r="F152" i="6"/>
  <c r="F150" i="6"/>
  <c r="F213" i="6"/>
  <c r="F214" i="6"/>
  <c r="F210" i="6"/>
  <c r="F212" i="6"/>
  <c r="F139" i="6"/>
  <c r="F190" i="6"/>
  <c r="F203" i="6"/>
  <c r="W23" i="1"/>
  <c r="F202" i="6"/>
  <c r="F246" i="6"/>
  <c r="F247" i="6"/>
  <c r="F243" i="6"/>
  <c r="F242" i="6"/>
  <c r="F250" i="6"/>
  <c r="F249" i="6"/>
  <c r="F194" i="6"/>
  <c r="F195" i="6"/>
  <c r="F52" i="6"/>
  <c r="Y23" i="1"/>
  <c r="X98" i="1" l="1"/>
  <c r="W29" i="1"/>
  <c r="F97" i="6"/>
  <c r="F109" i="6"/>
  <c r="R98" i="1"/>
  <c r="Y29" i="1"/>
  <c r="F110" i="6"/>
  <c r="F248" i="6"/>
  <c r="F211" i="6"/>
  <c r="F200" i="6"/>
  <c r="F187" i="6"/>
  <c r="F149" i="6"/>
  <c r="F138" i="6"/>
  <c r="O117" i="6"/>
  <c r="N117" i="6" s="1"/>
  <c r="F67" i="6"/>
  <c r="F98" i="6"/>
  <c r="F239" i="6"/>
  <c r="Y61" i="1"/>
  <c r="Y98" i="1" s="1"/>
  <c r="W61" i="1"/>
  <c r="F238" i="6"/>
  <c r="F235" i="6"/>
  <c r="F234" i="6"/>
  <c r="F230" i="6"/>
  <c r="F176" i="6"/>
  <c r="F169" i="6"/>
  <c r="F174" i="6"/>
  <c r="F173" i="6"/>
  <c r="F231" i="6"/>
  <c r="F178" i="6"/>
  <c r="F177" i="6"/>
  <c r="F37" i="6"/>
  <c r="F38" i="6" s="1"/>
  <c r="F39" i="6"/>
  <c r="F19" i="6"/>
  <c r="F26" i="6"/>
  <c r="F27" i="6" s="1"/>
  <c r="F28" i="6" s="1"/>
  <c r="O26" i="6" s="1"/>
  <c r="N26" i="6" s="1"/>
  <c r="F23" i="6"/>
  <c r="F24" i="6" s="1"/>
  <c r="F32" i="6"/>
  <c r="F33" i="6"/>
  <c r="F31" i="6"/>
  <c r="F47" i="6"/>
  <c r="F48" i="6"/>
  <c r="F49" i="6"/>
  <c r="F50" i="6"/>
  <c r="F53" i="6"/>
  <c r="F54" i="6"/>
  <c r="F56" i="6"/>
  <c r="F55" i="6"/>
  <c r="F116" i="6"/>
  <c r="F111" i="6"/>
  <c r="F112" i="6"/>
  <c r="F108" i="6"/>
  <c r="F107" i="6"/>
  <c r="F115" i="6"/>
  <c r="W98" i="1" l="1"/>
  <c r="W100" i="1" s="1"/>
  <c r="O142" i="6"/>
  <c r="N142" i="6" s="1"/>
  <c r="O191" i="6"/>
  <c r="N191" i="6" s="1"/>
  <c r="O240" i="6"/>
  <c r="N240" i="6" s="1"/>
  <c r="O129" i="6"/>
  <c r="N129" i="6" s="1"/>
  <c r="O179" i="6"/>
  <c r="N179" i="6" s="1"/>
  <c r="O204" i="6"/>
  <c r="N204" i="6" s="1"/>
  <c r="F236" i="6"/>
  <c r="F175" i="6"/>
  <c r="O63" i="6"/>
  <c r="N63" i="6" s="1"/>
  <c r="F113" i="6"/>
  <c r="F99" i="6"/>
  <c r="F40" i="6"/>
  <c r="F42" i="6"/>
  <c r="F41" i="6"/>
  <c r="F21" i="6"/>
  <c r="F22" i="6"/>
  <c r="F20" i="6"/>
  <c r="O51" i="6"/>
  <c r="N51" i="6" s="1"/>
  <c r="O29" i="6"/>
  <c r="N29" i="6" s="1"/>
  <c r="O167" i="6" l="1"/>
  <c r="N167" i="6" s="1"/>
  <c r="O92" i="6"/>
  <c r="N92" i="6" s="1"/>
  <c r="O228" i="6"/>
  <c r="N228" i="6" s="1"/>
  <c r="O45" i="6"/>
  <c r="N45" i="6" s="1"/>
  <c r="O105" i="6"/>
  <c r="N105" i="6" s="1"/>
  <c r="O36" i="6"/>
  <c r="N36" i="6" s="1"/>
  <c r="L296" i="6" l="1"/>
  <c r="H296" i="6"/>
  <c r="M297" i="6" s="1"/>
  <c r="J296" i="6"/>
  <c r="L12" i="6" s="1"/>
  <c r="O18" i="6"/>
  <c r="O296" i="6" s="1"/>
  <c r="M296" i="6" l="1"/>
  <c r="M298" i="6" s="1"/>
  <c r="M299" i="6" s="1"/>
  <c r="M300" i="6" s="1"/>
  <c r="M301" i="6" s="1"/>
  <c r="M302" i="6" s="1"/>
  <c r="N18" i="6"/>
  <c r="O302" i="6" l="1"/>
  <c r="L11" i="6"/>
</calcChain>
</file>

<file path=xl/sharedStrings.xml><?xml version="1.0" encoding="utf-8"?>
<sst xmlns="http://schemas.openxmlformats.org/spreadsheetml/2006/main" count="1551" uniqueCount="490">
  <si>
    <t>1 ერთეულზე</t>
  </si>
  <si>
    <t>სულ</t>
  </si>
  <si>
    <t xml:space="preserve">საძირკველი  </t>
  </si>
  <si>
    <t>n</t>
  </si>
  <si>
    <r>
      <t xml:space="preserve">Φ8 </t>
    </r>
    <r>
      <rPr>
        <sz val="9"/>
        <color theme="1"/>
        <rFont val="Arial"/>
        <family val="2"/>
      </rPr>
      <t>A240</t>
    </r>
  </si>
  <si>
    <t>A240</t>
  </si>
  <si>
    <t>B-25</t>
  </si>
  <si>
    <t>ლენტური</t>
  </si>
  <si>
    <t>ლსძ-1</t>
  </si>
  <si>
    <t>მონოლით.  კედელის  ნაშვე.</t>
  </si>
  <si>
    <t>სვშ-1</t>
  </si>
  <si>
    <t>სვშ-2</t>
  </si>
  <si>
    <t>სვშ-3</t>
  </si>
  <si>
    <t>სვეტები</t>
  </si>
  <si>
    <t>სვ-1</t>
  </si>
  <si>
    <t>სვ-2</t>
  </si>
  <si>
    <t>სვ-3</t>
  </si>
  <si>
    <t>მონ. კედლები</t>
  </si>
  <si>
    <t>მონ. კედ.1</t>
  </si>
  <si>
    <t>ფილა</t>
  </si>
  <si>
    <t>მ</t>
  </si>
  <si>
    <t>ც</t>
  </si>
  <si>
    <t>მ3</t>
  </si>
  <si>
    <t>მ2</t>
  </si>
  <si>
    <t xml:space="preserve">კიბეები  </t>
  </si>
  <si>
    <t>(მშენებლობის დასახელება)</t>
  </si>
  <si>
    <r>
      <t xml:space="preserve">საფუძველი: </t>
    </r>
    <r>
      <rPr>
        <sz val="10"/>
        <rFont val="Arial"/>
        <family val="2"/>
      </rPr>
      <t>საპროექტო დოკუმენტაცია</t>
    </r>
  </si>
  <si>
    <t>სახარჯთაღრიცხვო ღირებულება</t>
  </si>
  <si>
    <t>ათ. ლარი</t>
  </si>
  <si>
    <t>#</t>
  </si>
  <si>
    <t>ჯამი</t>
  </si>
  <si>
    <t>სამუშაოების დასახელება</t>
  </si>
  <si>
    <t>(ობიექტის დასახელება)</t>
  </si>
  <si>
    <t>ლოკალურ რესურსული ხარჯთაღრიცხვა  2-1-1</t>
  </si>
  <si>
    <t xml:space="preserve">საფუძველი:   </t>
  </si>
  <si>
    <t>საპროექტო დოკუმენტაცია</t>
  </si>
  <si>
    <t>მათ შორის ხელფასი</t>
  </si>
  <si>
    <t>N</t>
  </si>
  <si>
    <t>საფუ 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</si>
  <si>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</si>
  <si>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</si>
  <si>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</si>
  <si>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</si>
  <si>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</si>
  <si>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</si>
  <si>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ერთ</t>
  </si>
  <si>
    <t>1-22-15.</t>
  </si>
  <si>
    <t>III კატ გრუნტის მოჭრა ექსკავატორით ა/მანქანებზე დატვირთვით</t>
  </si>
  <si>
    <t>1000 მ3</t>
  </si>
  <si>
    <t>შრომითი რესურსი</t>
  </si>
  <si>
    <t>კაც/სთ</t>
  </si>
  <si>
    <t>ტ</t>
  </si>
  <si>
    <t>1-80-3.</t>
  </si>
  <si>
    <t>III კატ გრუნტის მოჭრა ხელით</t>
  </si>
  <si>
    <t>100 მ3</t>
  </si>
  <si>
    <t>1 მ3</t>
  </si>
  <si>
    <t>შრომის დანახარჯი</t>
  </si>
  <si>
    <t>6-1-1.</t>
  </si>
  <si>
    <t>6-1-22.</t>
  </si>
  <si>
    <t>საბაზრო</t>
  </si>
  <si>
    <t>100 მ2</t>
  </si>
  <si>
    <t>შრომითი რესურსები</t>
  </si>
  <si>
    <t>მანქ/სთ</t>
  </si>
  <si>
    <t>კგ</t>
  </si>
  <si>
    <t>II კატ. გრუნტის დატვირთვა ექსკავატორით ა/მანქანებზე და შემოტანა სამშენებლო მოედანზე</t>
  </si>
  <si>
    <t>1-22-14.</t>
  </si>
  <si>
    <t>II კატ გრუნტის დატვირთვა ექსკავატორით ა/მანქანებზე</t>
  </si>
  <si>
    <t>II კატ. გრუნტის უკუჩაყრა და დატკეპნა</t>
  </si>
  <si>
    <t>1-81-2.</t>
  </si>
  <si>
    <t>II კატ გრუნტის უკუჩაყრა ხელით</t>
  </si>
  <si>
    <t>1-118-10.</t>
  </si>
  <si>
    <t>უკუჩაყრილი II კატ გრუნტის დატკეპნა პნევმატური სატკეპნებით</t>
  </si>
  <si>
    <t>სხვა მანქანები</t>
  </si>
  <si>
    <t>ლარი</t>
  </si>
  <si>
    <t>სხვა მასალები</t>
  </si>
  <si>
    <t>6-1-16.</t>
  </si>
  <si>
    <t>მონოლითური რკინა-ბეტონის იატაკის ფილა</t>
  </si>
  <si>
    <t>6-12-4.</t>
  </si>
  <si>
    <t>6-15-2.</t>
  </si>
  <si>
    <t>მონოლითური რკინა-ბეტონის კოჭები კ-1</t>
  </si>
  <si>
    <t>6-16-1.</t>
  </si>
  <si>
    <t>მონოლითური რკინა-ბეტონის გადახურვის ფილა</t>
  </si>
  <si>
    <t>მონოლითური რკინა-ბეტონის გადახურვის ფილა სისქით 20 სმ</t>
  </si>
  <si>
    <t>მონოლითური რკინა-ბეტონის კოჭების კ-1</t>
  </si>
  <si>
    <t>29-142-1.</t>
  </si>
  <si>
    <t>სულ:</t>
  </si>
  <si>
    <t>მასალების ტრანსპორტირება</t>
  </si>
  <si>
    <t xml:space="preserve">ჯამი </t>
  </si>
  <si>
    <t>ზედნადები ხარჯები</t>
  </si>
  <si>
    <t>გეგმიური დაგროვება</t>
  </si>
  <si>
    <t>საფუძველი</t>
  </si>
  <si>
    <t>კომპრესორი მოძრავი შიდაწვის ძრავით 7 ატმ 5 მ3/წთ</t>
  </si>
  <si>
    <t>ექსკავატორი პნევმოსვლაზე 0.5 მ3</t>
  </si>
  <si>
    <t>ვიბრატორი სხვა სახის მშენებლობაზე</t>
  </si>
  <si>
    <t>პნევმატური სატკეპნი მომუშავე მოძრავ კომპრესორზე</t>
  </si>
  <si>
    <t>ელექტროდი შედუღების Ø4x350 მმ</t>
  </si>
  <si>
    <t xml:space="preserve">სასაქონლო ბეტონი მძიმე B25 </t>
  </si>
  <si>
    <t>ხემასალა დახერხილი ნედლი წიწოვანი</t>
  </si>
  <si>
    <t>ფანერა ლამინირებული საყალიბე სისქით 18 მმ</t>
  </si>
  <si>
    <t>a</t>
  </si>
  <si>
    <t>b</t>
  </si>
  <si>
    <t>ბალასტი</t>
  </si>
  <si>
    <t>B-7.5</t>
  </si>
  <si>
    <t>მონ. რ/ბ ლენტური საძირკველი</t>
  </si>
  <si>
    <t>კუბ.მ.</t>
  </si>
  <si>
    <t>ტონა</t>
  </si>
  <si>
    <t>6-11-3.</t>
  </si>
  <si>
    <t>თავი  1.     მიწის სამუშაოები</t>
  </si>
  <si>
    <t>თავი 2.     საძირკვლის მოწყობა</t>
  </si>
  <si>
    <t xml:space="preserve">მონოლითური რკინა-ბეტონის სვეტები </t>
  </si>
  <si>
    <t>მონოლითური რკინა-ბეტონის რიგელების  მოწყობა კვეთით 300х450 მმ, ▼+2.85  მ ნიშ-ზე</t>
  </si>
  <si>
    <t>მიწის  სამუშაოები</t>
  </si>
  <si>
    <t>საშუალო  სიმაღლე</t>
  </si>
  <si>
    <t>III კატ გრუნტის დამუშავება ხელით</t>
  </si>
  <si>
    <t>ჰიდროიზოლაცია</t>
  </si>
  <si>
    <t>s</t>
  </si>
  <si>
    <t>p</t>
  </si>
  <si>
    <t>ქვიშა-ხრეშოვანი ნარევი</t>
  </si>
  <si>
    <t>სასაქონლო ბეტონი მძიმე B7.5</t>
  </si>
  <si>
    <t>13-339.</t>
  </si>
  <si>
    <t>8-3-2.</t>
  </si>
  <si>
    <t>განზ. ერთ</t>
  </si>
  <si>
    <t>ნორმატიული ხარჯი</t>
  </si>
  <si>
    <t>მასალა</t>
  </si>
  <si>
    <t>მანქანა-მექსანიზმები</t>
  </si>
  <si>
    <t>ერთ.</t>
  </si>
  <si>
    <t>რაოდენობა</t>
  </si>
  <si>
    <t>სახურავი</t>
  </si>
  <si>
    <t>კ-1</t>
  </si>
  <si>
    <t>იატაკები</t>
  </si>
  <si>
    <t>WC</t>
  </si>
  <si>
    <t>ტერასა</t>
  </si>
  <si>
    <t>საძინებელი</t>
  </si>
  <si>
    <t>აივანი</t>
  </si>
  <si>
    <t>საერთო სამშენებლო სამუშაოები   /რკინა-ბეტონის კარკასი/</t>
  </si>
  <si>
    <t>ქალაქი თბილისი, ავჭალის ქ., გზატკეცილი 52-ის მიმდ., ზაჰესი
(ს/კ 72.12.02.705)</t>
  </si>
  <si>
    <t>ინდივიდუალური ერთბინიანი საცხოვრებელი სახლი</t>
  </si>
  <si>
    <t>მოსაჭრელი გრუნტის მოცულობა</t>
  </si>
  <si>
    <t>L</t>
  </si>
  <si>
    <t>უკუჩაყრა  1.   0.4  მ სიგანის ზოლი</t>
  </si>
  <si>
    <t>უკუჩაყრა  2.   ქანობის ნაწილის შევსება</t>
  </si>
  <si>
    <r>
      <t xml:space="preserve">Φ14 </t>
    </r>
    <r>
      <rPr>
        <sz val="9"/>
        <color theme="1"/>
        <rFont val="Arial"/>
        <family val="2"/>
      </rPr>
      <t>B500B</t>
    </r>
  </si>
  <si>
    <r>
      <t xml:space="preserve">Φ20 </t>
    </r>
    <r>
      <rPr>
        <sz val="9"/>
        <color theme="1"/>
        <rFont val="Arial"/>
        <family val="2"/>
      </rPr>
      <t>B500B</t>
    </r>
  </si>
  <si>
    <r>
      <t xml:space="preserve">Φ18 </t>
    </r>
    <r>
      <rPr>
        <sz val="9"/>
        <color theme="1"/>
        <rFont val="Arial"/>
        <family val="2"/>
      </rPr>
      <t>B500B</t>
    </r>
  </si>
  <si>
    <r>
      <t xml:space="preserve">Φ16 </t>
    </r>
    <r>
      <rPr>
        <sz val="9"/>
        <color theme="1"/>
        <rFont val="Arial"/>
        <family val="2"/>
      </rPr>
      <t>B500B</t>
    </r>
  </si>
  <si>
    <r>
      <t xml:space="preserve">Φ12 </t>
    </r>
    <r>
      <rPr>
        <sz val="9"/>
        <color theme="1"/>
        <rFont val="Arial"/>
        <family val="2"/>
      </rPr>
      <t>B500B</t>
    </r>
  </si>
  <si>
    <r>
      <t xml:space="preserve">Φ10 </t>
    </r>
    <r>
      <rPr>
        <sz val="9"/>
        <color theme="1"/>
        <rFont val="Arial"/>
        <family val="2"/>
      </rPr>
      <t>B500B</t>
    </r>
  </si>
  <si>
    <t>B500B</t>
  </si>
  <si>
    <t>ლსძ-ის კედელი</t>
  </si>
  <si>
    <r>
      <t xml:space="preserve">Φ8 </t>
    </r>
    <r>
      <rPr>
        <sz val="9"/>
        <color theme="1"/>
        <rFont val="Arial"/>
        <family val="2"/>
      </rPr>
      <t>B500B</t>
    </r>
  </si>
  <si>
    <t>B25W6</t>
  </si>
  <si>
    <t>საძირკვლის ფილა</t>
  </si>
  <si>
    <r>
      <t xml:space="preserve">Φ22 </t>
    </r>
    <r>
      <rPr>
        <sz val="9"/>
        <color theme="1"/>
        <rFont val="Arial"/>
        <family val="2"/>
      </rPr>
      <t>B500B</t>
    </r>
  </si>
  <si>
    <t>სულ საძირკველი</t>
  </si>
  <si>
    <t>სვშ-2ა</t>
  </si>
  <si>
    <t xml:space="preserve">III კატ გრუნტის დამუშავება  ექსკავატორით ა/მანქანებზე დატვირთვით </t>
  </si>
  <si>
    <t>ნიშნული  -  3.85 მ-დან   -0.05 მ-მდე</t>
  </si>
  <si>
    <t>სვ-2ა</t>
  </si>
  <si>
    <t>ნიშნული   -0.05 მ-დან  +3.70 მ-მდე</t>
  </si>
  <si>
    <t>ნიშნული  +3.70 მ-დან  +6.90 მ-მდე</t>
  </si>
  <si>
    <t>სვეტის  ნაშვერები</t>
  </si>
  <si>
    <t xml:space="preserve">რიგელები  </t>
  </si>
  <si>
    <t>ნიშნ       -0.05</t>
  </si>
  <si>
    <t>ნიშნ       +3.70</t>
  </si>
  <si>
    <t xml:space="preserve">ნიშნ       +6.90 </t>
  </si>
  <si>
    <t>პარაპეტი</t>
  </si>
  <si>
    <t>პარაპეტი +6.90 მ ნიშნულზე</t>
  </si>
  <si>
    <t>საერთო   რაოდენობა</t>
  </si>
  <si>
    <t>ჯამი  რიგელები და ფილა</t>
  </si>
  <si>
    <t>ბეტონის მომზადების მოწყობა სისქით  h= 10 სმ (საძირკვლის ფილის ქვეშ)</t>
  </si>
  <si>
    <t>ბეტონის მომზადების მოწყობა სისქით  h= 10 სმ (ლენტური საძირკვლის  ქვეშ)</t>
  </si>
  <si>
    <t>ხრეშის საფუძვლის მოწყობა (საძირკვლის ფილის  და ლენტური საძირკვლის ქვეშ h= 20 სმ), დატკეპნით</t>
  </si>
  <si>
    <t>არმატურა  B500B   კლასის Ø8 მმ</t>
  </si>
  <si>
    <t xml:space="preserve">არმატურა  B500B   კლასის </t>
  </si>
  <si>
    <t>თავი  3.    სამუშაოები  -3.85 ნ ნიშნულიდან  -0.05 მ ნიშნულამდე</t>
  </si>
  <si>
    <t>მონოლითური რკინა-ბეტონის კედელის  მოწყობა     /-3.85 მ  ნიშულიდან  -0.05 მ ნიშნულამდე/</t>
  </si>
  <si>
    <t>მონოლითური რკინა-ბეტონის რიგელების  მოწყობა კვეთით 250х500 მმ  და 400х500 მმ ▼-0.05  მ ნიშ-ზე</t>
  </si>
  <si>
    <t>სასაქონლო ბეტონი მძიმე  B25W6</t>
  </si>
  <si>
    <t>მონოლითური რკინა-ბეტონის გადახურვის ფილის მოწყობა ▼+3.70 მ  ნიშნულზე</t>
  </si>
  <si>
    <t>მონოლითური რკინა-ბეტონის გადახურვის ფილის მოწყობა სისქით   160 მმ ▼ -0.05 მ  ნიშ-ზე</t>
  </si>
  <si>
    <t>თავი 5.   სამუშაოები   +3.70  მ ნიშ-დან   +6.90  მ ნიშ-მდე</t>
  </si>
  <si>
    <t>ჯამი   თავი  1.     მიწის სამუშაოები</t>
  </si>
  <si>
    <t>ჯამი   თავი 2.      საძირკვლის მოწყობა</t>
  </si>
  <si>
    <t>ჯამი  თავი  3.   სამუშაოები  -3.85 მ-დან  -0.05 მ ნიშ-მდე</t>
  </si>
  <si>
    <t>თავი 4.   სამუშაოები   -0.05 მ ნიშ-დან   +3.70  მ ნიშ-მდე</t>
  </si>
  <si>
    <t xml:space="preserve"> ჯამი თავი 4.  სამუშაოები  -0.05 მ ნიშ-დან   +3.70  მ ნიშ-მდე</t>
  </si>
  <si>
    <t>ამოღებული გრუნტის ტრანსპორტირება საშუალოდ 10 კმ-ზე</t>
  </si>
  <si>
    <t>14-1-10.</t>
  </si>
  <si>
    <t>მონოლითური რკინა-ბეტონის სვეტების მოწყობა  (ს-1,  ს-2,  ს-2ა  და ს-3)   კვეთით 400х400 მმ     /-3.85 მ  ნიშულიდან  -0.05 მ ნიშნულამდე/</t>
  </si>
  <si>
    <t>მონოლითური რკინა-ბეტონის საძირკვლის ფილის მოწყობა სისქით h= 40 სმ ▼-3.85  მ  ნიშ-ზე   (სვეტების და კედლის არმატურის  ნაშვერების გათვალისწინებით)</t>
  </si>
  <si>
    <t xml:space="preserve">მონოლითური რკინა-ბეტონის კედლის  მოწყობა        /-0.05 მ  ნიშულიდან  +3.70 მ ნიშნულამდე/   </t>
  </si>
  <si>
    <t xml:space="preserve">მონოლითური რკინა-ბეტონის სვეტების მოწყობა  (ს-1,  ს-2)  კვეთით 400х400 მმ </t>
  </si>
  <si>
    <t>მონოლითური რკინა-ბეტონის  რიგელების  მოწყობა  ▼+6.90  ნიშ-ზე</t>
  </si>
  <si>
    <t>მონოლითური რკინა-ბეტონის გადახურვის ფილის მოწყობა ▼+6.90 მ  ნიშნულზე</t>
  </si>
  <si>
    <t xml:space="preserve">კიბე </t>
  </si>
  <si>
    <t>კიბე</t>
  </si>
  <si>
    <t>მონოლითური რკინაბეტონის კიბის   მარშების  მოწყობა   -  3.85 მ-დან   -0.05 მ-მდე</t>
  </si>
  <si>
    <t>13-1-111.</t>
  </si>
  <si>
    <t>13-1-163.</t>
  </si>
  <si>
    <t>13-1-99.</t>
  </si>
  <si>
    <t>ტრანსპორტირება საშუალოდ 10 კმ-ზე</t>
  </si>
  <si>
    <t>დასაწყობებული გრუნტის ტრანსპორტირება საშუალოდ 10 კმ-ზე</t>
  </si>
  <si>
    <t>1-1-9.</t>
  </si>
  <si>
    <t>1-10-19.</t>
  </si>
  <si>
    <t>4-1-354.</t>
  </si>
  <si>
    <t>4-1-342.</t>
  </si>
  <si>
    <t>4-1-337.</t>
  </si>
  <si>
    <t>5-1-57.</t>
  </si>
  <si>
    <t>4-1-247.</t>
  </si>
  <si>
    <t>5-1-1.</t>
  </si>
  <si>
    <t>ბეტონის პომპით მომსახურება</t>
  </si>
  <si>
    <t>ჯამი სვეტების ნაშვერების გარეშე</t>
  </si>
  <si>
    <t>ჯამი  საძირკველი  ნაშვერებით</t>
  </si>
  <si>
    <t>ვიტ-1</t>
  </si>
  <si>
    <t>კ-2</t>
  </si>
  <si>
    <t>კ-4</t>
  </si>
  <si>
    <t>კ-5</t>
  </si>
  <si>
    <t>ფ-1</t>
  </si>
  <si>
    <t>ფ-2</t>
  </si>
  <si>
    <t>ფ-3</t>
  </si>
  <si>
    <t>ფ-4</t>
  </si>
  <si>
    <t>ფ-5</t>
  </si>
  <si>
    <t>ფ-6</t>
  </si>
  <si>
    <t>ფ-7</t>
  </si>
  <si>
    <t>ფ-8</t>
  </si>
  <si>
    <t>ვიტ-2</t>
  </si>
  <si>
    <t>ვიტ-3</t>
  </si>
  <si>
    <t>ვიტ-4</t>
  </si>
  <si>
    <t>h</t>
  </si>
  <si>
    <t>შიდა კედლების  ლესვა</t>
  </si>
  <si>
    <t>ჭერი</t>
  </si>
  <si>
    <t>S</t>
  </si>
  <si>
    <t>სასტუმრო ოთახი</t>
  </si>
  <si>
    <t>სასადილო</t>
  </si>
  <si>
    <t>სამზარეულო</t>
  </si>
  <si>
    <t>კიბის უჯრედი და ჰოლი</t>
  </si>
  <si>
    <t>I სართულის საერთო ფართი</t>
  </si>
  <si>
    <t xml:space="preserve">დეკორატიული პერფორირებული ფილით მოპირკეთება </t>
  </si>
  <si>
    <t>სარდაფის სართული  -3.80</t>
  </si>
  <si>
    <t xml:space="preserve">ფარეხი და მარანი </t>
  </si>
  <si>
    <t>I სართული    0.00=496.67</t>
  </si>
  <si>
    <t>II სართული    +3.80</t>
  </si>
  <si>
    <t>საძინებელი 1</t>
  </si>
  <si>
    <t>საძინებელი 2</t>
  </si>
  <si>
    <t>გარდერობი</t>
  </si>
  <si>
    <t>სათავსო</t>
  </si>
  <si>
    <t>აივანი 1</t>
  </si>
  <si>
    <t>აივანი 2</t>
  </si>
  <si>
    <t>II სართულის საერთო ფართი</t>
  </si>
  <si>
    <t>ბლოკი   30 სმ</t>
  </si>
  <si>
    <t>ბლოკი  10 სმ</t>
  </si>
  <si>
    <t>კედილი</t>
  </si>
  <si>
    <t>ბეტონის ბლოკი 300*200*400</t>
  </si>
  <si>
    <t>ქვ. ცემენტით ლესვა  4 სმ</t>
  </si>
  <si>
    <t>თბოსაიზოლაციო კედლის ფილა 5 სმ</t>
  </si>
  <si>
    <t>დეკორატიული ლესვა  3 სმ</t>
  </si>
  <si>
    <t>გადახურვის  რ/ბეტონის ფილა</t>
  </si>
  <si>
    <t>ორთქლსაიზოლაციო მემბრანა  1.5 მმ</t>
  </si>
  <si>
    <t>პემზა დატკეპნილი  მინიმუმ  100 მმ</t>
  </si>
  <si>
    <t>ქვიშა- ცემენტის ხსნარით მოჭიმვა</t>
  </si>
  <si>
    <t>ორმაგი ჰიდროიზოლაცია</t>
  </si>
  <si>
    <t xml:space="preserve">პარაპეტი  </t>
  </si>
  <si>
    <r>
      <rPr>
        <b/>
        <sz val="10"/>
        <color theme="1"/>
        <rFont val="Arial"/>
        <family val="2"/>
      </rPr>
      <t xml:space="preserve">პარაპეტის თუნუქით შემოსვა  </t>
    </r>
    <r>
      <rPr>
        <sz val="10"/>
        <color theme="1"/>
        <rFont val="Arial"/>
        <family val="2"/>
      </rPr>
      <t>(4+4+(3+4+5)+30+4+4+4)+(30+4+4)</t>
    </r>
  </si>
  <si>
    <t>პარაპეტის  სიგრძე</t>
  </si>
  <si>
    <t>პარაპეტზე  ბლოკი წყობის ფართობი</t>
  </si>
  <si>
    <t>პარაპეტის ფართობი შიდა ლესვისთვის</t>
  </si>
  <si>
    <t>ვიტ-2*</t>
  </si>
  <si>
    <t>ფ-9</t>
  </si>
  <si>
    <t>ფ-10</t>
  </si>
  <si>
    <t>ფ-11</t>
  </si>
  <si>
    <t>ალუმინის  ვიტრაჟები  - რუხი ფერის</t>
  </si>
  <si>
    <t>ალუმინის ფანჯრები -   რუხი ფერის</t>
  </si>
  <si>
    <t>ალუმინის კარი  - რუხი ფერის</t>
  </si>
  <si>
    <t>კ-3</t>
  </si>
  <si>
    <t>მეტალის კარი - რუხი ფერის</t>
  </si>
  <si>
    <t>ერთის ფართობი</t>
  </si>
  <si>
    <t>სრული ფართობი</t>
  </si>
  <si>
    <t>n*S</t>
  </si>
  <si>
    <t>სიმაღლე</t>
  </si>
  <si>
    <t>სიგანე</t>
  </si>
  <si>
    <t>S ღიობის</t>
  </si>
  <si>
    <t>მდფ-ის კარი</t>
  </si>
  <si>
    <t>მეტალის</t>
  </si>
  <si>
    <t>ფარეხის  და მარნის  კარი</t>
  </si>
  <si>
    <t>ალუმინის</t>
  </si>
  <si>
    <t>S  წყ</t>
  </si>
  <si>
    <t>ლამინატი</t>
  </si>
  <si>
    <t>კერამიკული</t>
  </si>
  <si>
    <t>კერამილული აივანზე</t>
  </si>
  <si>
    <t>სამრეწველო იატაკი</t>
  </si>
  <si>
    <t>კერამიკული  ჰოლი</t>
  </si>
  <si>
    <t>კიბის უჯრედი  და ჰოლი /21 საფეხ,0.172 მ. სიმაღლე/</t>
  </si>
  <si>
    <t>არაექსპლუატირებადი სახურავი  0.00 მ-ზე</t>
  </si>
  <si>
    <t>ტერიტორიის კეთილმოწყობა</t>
  </si>
  <si>
    <t>ფასადის  მოპირკეთება</t>
  </si>
  <si>
    <t>S  ლესვ</t>
  </si>
  <si>
    <t xml:space="preserve">შრომითი დანახარჯები </t>
  </si>
  <si>
    <t>პროპან-ბუტანი ტექნიკური ნარევი</t>
  </si>
  <si>
    <t>წყალსაწრეტი მილები</t>
  </si>
  <si>
    <t>მუხლი</t>
  </si>
  <si>
    <t>ფასადი     1-6</t>
  </si>
  <si>
    <t>რუხი 1035</t>
  </si>
  <si>
    <t>რუხი 7038</t>
  </si>
  <si>
    <t>ფასადი     6-1</t>
  </si>
  <si>
    <t>ტრავენტინი</t>
  </si>
  <si>
    <t>ფასადი  ა - გ</t>
  </si>
  <si>
    <t>ლესვა</t>
  </si>
  <si>
    <t>ფასადი  გ-ა</t>
  </si>
  <si>
    <t>ჯამი   ლესვა</t>
  </si>
  <si>
    <t>ჯამი  ტრავენტინი</t>
  </si>
  <si>
    <t xml:space="preserve">მასლის ტრანსპორტირება     </t>
  </si>
  <si>
    <t>კიბის მოაჯირები</t>
  </si>
  <si>
    <t>აივნის მოაჯირები</t>
  </si>
  <si>
    <t>13-1-275.</t>
  </si>
  <si>
    <t>4-1-395.</t>
  </si>
  <si>
    <t>4-1-429</t>
  </si>
  <si>
    <t>აივნის  ჭერები</t>
  </si>
  <si>
    <t xml:space="preserve"> ჯამი  თავი 5. სამუშაოები   +3.70 მ ნიშ-დან +6.90  მ ნიშ-მდე</t>
  </si>
  <si>
    <t>სახურავზე  +6.90 მ ნიშნულზე  ჩილერების სადგამების მოწყობა</t>
  </si>
  <si>
    <t>პარაპეტის  ფართი   იზოლაციისთვის</t>
  </si>
  <si>
    <t>სახურ. +17.25 და +22.75 მ ნიშნ. რ/ბ-ის  სადგამების მოწყობა</t>
  </si>
  <si>
    <t>შევსება წიდით რ/ბეტონის  ფილების ქვეშ</t>
  </si>
  <si>
    <t>ჩილერები სადგამები</t>
  </si>
  <si>
    <t>შევსება  წიდით</t>
  </si>
  <si>
    <t>24-1</t>
  </si>
  <si>
    <t>მონოლითური რ/ბეტონის კედლის მოწყობა 0.5 მ სიმაღლის</t>
  </si>
  <si>
    <t>შევსება ქვიშით  რ/ბეტონის  ფილების ქვეშ</t>
  </si>
  <si>
    <t xml:space="preserve">ქვიშა </t>
  </si>
  <si>
    <t>4-1-245.</t>
  </si>
  <si>
    <t>მონოლითური რკინა-ბეტონის გადახურვის ფილის მოწყობა ▼+7.60 მ  ნიშნულზე</t>
  </si>
  <si>
    <t>სასაქონლო ბეტონი მძიმე  B25</t>
  </si>
  <si>
    <t xml:space="preserve"> თავი 6.  სხვადასხვა სამუშაოები</t>
  </si>
  <si>
    <t>ჯამი  თავი 6.</t>
  </si>
  <si>
    <t>06-01-151-04 ГЭСН</t>
  </si>
  <si>
    <t>მონოლითური რკ/ბეტონის ფუნდამენტის და კედლების ვერტიკტალური ასაკრავი ჰიდროიზოლაცია 2 ფენა რულონული ჰიდროსაიზოლაციო მასალით დამცავი პროფილირებული მემბრანის გათვალისწინებით</t>
  </si>
  <si>
    <t>დრელი ელექტრო</t>
  </si>
  <si>
    <t>პერფერატორი ელექტრო</t>
  </si>
  <si>
    <t>სანთურა აირის, ინჟექტორული</t>
  </si>
  <si>
    <t>1-10-012</t>
  </si>
  <si>
    <t>დიუბელი პლასტმასის ბუდით Ø8x100 მმ</t>
  </si>
  <si>
    <t>4-1-215</t>
  </si>
  <si>
    <t>პოლიმერცემენტის ნარევი</t>
  </si>
  <si>
    <t>4-1-241</t>
  </si>
  <si>
    <t>არასაყოფაცხოვრებო წყალი</t>
  </si>
  <si>
    <t>4-1-371</t>
  </si>
  <si>
    <t>ხსნარი წყობის, ცემენტის მ-150</t>
  </si>
  <si>
    <t>ჰიდროსაიზოლაციო ასაკრავი რულონური მასალა</t>
  </si>
  <si>
    <t>4-1-393</t>
  </si>
  <si>
    <t>პროფილირებული დამცავი მემბრანა</t>
  </si>
  <si>
    <t>4-1-427</t>
  </si>
  <si>
    <t>მემბრანის დამაგრების დიუბელი</t>
  </si>
  <si>
    <t>ბიტუმის პრაიმერი</t>
  </si>
  <si>
    <t>მასტიკა ბიტუმ-პოლიმერული</t>
  </si>
  <si>
    <t>10-1-010</t>
  </si>
  <si>
    <t>ლენტა ბუტილის</t>
  </si>
  <si>
    <t>10-1-018</t>
  </si>
  <si>
    <t>თამასა მოთუთიებული, დამცავი</t>
  </si>
  <si>
    <t>ჟანგბადი ტექნიკური,აიროვანი</t>
  </si>
  <si>
    <t>ხელსაბანი</t>
  </si>
  <si>
    <t>შხაპი</t>
  </si>
  <si>
    <t>უნიტაზი</t>
  </si>
  <si>
    <r>
      <t xml:space="preserve">მილი  </t>
    </r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</rPr>
      <t>25</t>
    </r>
  </si>
  <si>
    <r>
      <t xml:space="preserve">მილი  </t>
    </r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</rPr>
      <t>20</t>
    </r>
  </si>
  <si>
    <t>ვინტილი   Ø25</t>
  </si>
  <si>
    <t>ვინტილი   Ø20</t>
  </si>
  <si>
    <t>არკოს ვენტილი</t>
  </si>
  <si>
    <t>კანალიზაციის მილი</t>
  </si>
  <si>
    <t>მილი  Ø100</t>
  </si>
  <si>
    <t>გარე  წყალი</t>
  </si>
  <si>
    <t>წყალმზომი კვანძი</t>
  </si>
  <si>
    <t>მილი  Ø50</t>
  </si>
  <si>
    <t>გადამყვანი    100-50</t>
  </si>
  <si>
    <t>სამკაპი  100*100*100</t>
  </si>
  <si>
    <t>სამკაპი  100*50*100</t>
  </si>
  <si>
    <t>მუხლი   50</t>
  </si>
  <si>
    <t>მუხლი   100</t>
  </si>
  <si>
    <t>რევიზია     100</t>
  </si>
  <si>
    <t>წყალარინების ტუმბო</t>
  </si>
  <si>
    <t>გარე კანალიზაცია</t>
  </si>
  <si>
    <t xml:space="preserve">ჭა </t>
  </si>
  <si>
    <t>გამანაწილებელი ფარი  -1</t>
  </si>
  <si>
    <t xml:space="preserve">კედლის შიდა მონტაჟის ელ. ფარი </t>
  </si>
  <si>
    <t>ავტ. ამომრთველი                                                2 პ - 40 ა</t>
  </si>
  <si>
    <t>საერთო  (შემყვანი)  ავტ. ამომრთველი  2 პ - 63 ა</t>
  </si>
  <si>
    <t>ავტ. ამომრთველი                                     1პ       -       25 ა</t>
  </si>
  <si>
    <t>ავტ. ამომრთველი                                     1პ       -       16 ა</t>
  </si>
  <si>
    <t>დაცვის დიფერენც.   ამომრთველი   2 პ - 25 ა</t>
  </si>
  <si>
    <t>შემაერთებელი  შინა  63 ა</t>
  </si>
  <si>
    <t>გამანაწილებელი ფარი  -2</t>
  </si>
  <si>
    <t>საერთო  (შემყვანი)  ავტ. ამომრთველი  2 პ - 40 ა</t>
  </si>
  <si>
    <t>გამანაწილებელი ფარი  -3</t>
  </si>
  <si>
    <t xml:space="preserve">U-2/28-F.                    1P30 </t>
  </si>
  <si>
    <t xml:space="preserve">PL6-C63/2.                 1P30 </t>
  </si>
  <si>
    <t>PL6-C40/2.                 1P30</t>
  </si>
  <si>
    <t xml:space="preserve">PL6-C25/1.                 1P30 </t>
  </si>
  <si>
    <t xml:space="preserve">PL6-C16/1.                 1P30 </t>
  </si>
  <si>
    <t xml:space="preserve">F7-25/2/003               1P30 </t>
  </si>
  <si>
    <t xml:space="preserve">Z-GV-10/3P+N-4TE </t>
  </si>
  <si>
    <t xml:space="preserve">U-1/14-F.                    1P30 </t>
  </si>
  <si>
    <t xml:space="preserve">PL6-C40/2.                 1P30 </t>
  </si>
  <si>
    <t>F7-25/2/003               1P30</t>
  </si>
  <si>
    <t>Z-GV-10/3P+N-4TE</t>
  </si>
  <si>
    <t>ავტ. ამომრთველი                                                1 პ - 25 ა</t>
  </si>
  <si>
    <t xml:space="preserve">საინსტალაციო  (სამონტაჟო )  კოლოფი </t>
  </si>
  <si>
    <t>საკლემე ხუნდები</t>
  </si>
  <si>
    <t xml:space="preserve">RY- C-8-vv </t>
  </si>
  <si>
    <t>ჭერის სანათი                                        10*18  ვტ</t>
  </si>
  <si>
    <t>ჭერის სანათი                                          4*18  ვტ</t>
  </si>
  <si>
    <t>ჭერის სანათი                                          8*18  ვტ</t>
  </si>
  <si>
    <t>კედლის სანათი      ჰერმეტული       1*20  ვტ</t>
  </si>
  <si>
    <t>კედლის  სანათი                                        1*20  ვტ</t>
  </si>
  <si>
    <t>წერის წერტილოვანი სანათი            1*9 ვტ</t>
  </si>
  <si>
    <t>კედლის  ლედ ნათების სანათი       1*18 ვტ</t>
  </si>
  <si>
    <t xml:space="preserve">კედლის  გამწოვი                                      </t>
  </si>
  <si>
    <t>სადენები</t>
  </si>
  <si>
    <t>2*10+1*6       მმ2</t>
  </si>
  <si>
    <t>3*4.0             მმ2</t>
  </si>
  <si>
    <t>4*1.5              მმ2</t>
  </si>
  <si>
    <t>3*1.5             მმ2</t>
  </si>
  <si>
    <t>3*2.5            მმ2</t>
  </si>
  <si>
    <t>ერთფაზა ელ. მრიცხველი 6(2) სტანდარტის ყუთით</t>
  </si>
  <si>
    <t xml:space="preserve">1X230v;  50Hz;   10(60)A </t>
  </si>
  <si>
    <t xml:space="preserve">LED -T.1X18w        .1P44. </t>
  </si>
  <si>
    <t>სპილენძის ორმაგი იზოლაციით</t>
  </si>
  <si>
    <t>3*10            მმ2</t>
  </si>
  <si>
    <t>დრენაჟის  მოწყობა</t>
  </si>
  <si>
    <t>ლოკალურ რესურსული ხარჯთაღრიცხვა  5.</t>
  </si>
  <si>
    <t>ლოკალურ რესურსული ხარჯთაღრიცხვა  4</t>
  </si>
  <si>
    <t>1-22-15</t>
  </si>
  <si>
    <t>III კატეგორიის გრუნტის დამუშავება ექსკავატორით ავტოთვითმცლელზე დატვირთვით</t>
  </si>
  <si>
    <t>4-1-245</t>
  </si>
  <si>
    <t>ღორღი</t>
  </si>
  <si>
    <t>III კატეგორიის გრუნტის დამუშავება ხელით</t>
  </si>
  <si>
    <t>1-31-1</t>
  </si>
  <si>
    <t>1-118-10</t>
  </si>
  <si>
    <t xml:space="preserve"> დატკეპნა პნევმოსატკეპნებით </t>
  </si>
  <si>
    <t>კომპრესორი</t>
  </si>
  <si>
    <t>14-2-15</t>
  </si>
  <si>
    <t>ზედმეტი გრუნტის გატანა ნაყარში</t>
  </si>
  <si>
    <t xml:space="preserve">23-1-1  </t>
  </si>
  <si>
    <t>ქვიშის საფუძვლის მოწყობა მილების ქვეშ 10 სმ, მის თავზე სისქით 30 სმ</t>
  </si>
  <si>
    <t>10 მ3</t>
  </si>
  <si>
    <t>4-1-237.</t>
  </si>
  <si>
    <t>ქვიშა შავი 0-5 მმ</t>
  </si>
  <si>
    <t>22-8-1.</t>
  </si>
  <si>
    <t>1000 მ</t>
  </si>
  <si>
    <t>1-11-14.</t>
  </si>
  <si>
    <t>14-1-118</t>
  </si>
  <si>
    <t>23-5-2</t>
  </si>
  <si>
    <t>2-9-112.</t>
  </si>
  <si>
    <t>უკუ ფილტრის მოწყობა   საშუალო  ზომის მარცვლოვანი  ქვიშის ჩაყრით  და დატკეპნით</t>
  </si>
  <si>
    <t xml:space="preserve"> საშუალო  ზომის მარცვლოვანი  ქვიშა</t>
  </si>
  <si>
    <t xml:space="preserve">23-1-1.  </t>
  </si>
  <si>
    <t>უკუ ფილტრის მოწყობა    მსვილმარცვლოვანი  ქვიშა  Ø=2 სმ-ის ჩაყრით  და დატკეპნით</t>
  </si>
  <si>
    <t xml:space="preserve"> მსვილმარცვლოვანი  ქვიშა  Ø=2 სმ</t>
  </si>
  <si>
    <t xml:space="preserve">23-1-2.  </t>
  </si>
  <si>
    <t>უკუ ფილტრის მოწყობა   ღორღი   საშუალო  ზომის Ø=3 სმ-5სმ-ის ჩაყრით  და დატკეპნით</t>
  </si>
  <si>
    <t xml:space="preserve"> ღორღი   საშუალო  ზომის Ø=3 სმ-5სმ</t>
  </si>
  <si>
    <t>მდინარის  ბალასტი</t>
  </si>
  <si>
    <t>23-12-1.</t>
  </si>
  <si>
    <t>4-1-106.</t>
  </si>
  <si>
    <t>ანაკრები რკინაბეტონის რგოლი Ø1.5 მ</t>
  </si>
  <si>
    <t>4-1-114.</t>
  </si>
  <si>
    <t>გადახურვის  ანაკრები რკინაბეტონის ფილა თუჯის მრგვალი ხუფით</t>
  </si>
  <si>
    <t>4-1-143</t>
  </si>
  <si>
    <t xml:space="preserve"> ძირის ანაკრები რკინაბეტონის მრგვალი ფილა</t>
  </si>
  <si>
    <t>4-1-334.</t>
  </si>
  <si>
    <t>ბეტონი B-15</t>
  </si>
  <si>
    <t>1-1-28.</t>
  </si>
  <si>
    <t>არმატურა A-III კლასის</t>
  </si>
  <si>
    <t>პლასტმასის პერფორირებული  მილები     Ø150</t>
  </si>
  <si>
    <t>ექსკავატორი პნევმო სვლაზე ჩამჩის ტევადობით 0.5 მ3</t>
  </si>
  <si>
    <t>მდინარის ბალასტის  უკუჩაყრა ექსკავატორით</t>
  </si>
  <si>
    <t>რ/ბეტონის  სათვალთვალო  ჭების  მოწყობა Ø=1.0 მ   h=2 მ-მდე</t>
  </si>
  <si>
    <t>ანაკრები რკინაბეტონის  ჭა Ø 1.0  მ, ( 1 ც), თუჯის ხუფით</t>
  </si>
  <si>
    <t>გრუნტის ტრანსპორტირება საშუალოდ 10 კმ-ზე</t>
  </si>
  <si>
    <t>რ/ბეტონის   ჭების  მოწყობა Ø=1.0 მ   h=2 მ-მდე</t>
  </si>
  <si>
    <t>2-8-156.</t>
  </si>
  <si>
    <t>ფასონური ნაწილები  35% მილების</t>
  </si>
  <si>
    <t>ლარო</t>
  </si>
  <si>
    <t>1-1.</t>
  </si>
  <si>
    <t>13-111.</t>
  </si>
  <si>
    <t>13-100.</t>
  </si>
  <si>
    <t>13-309.</t>
  </si>
  <si>
    <t xml:space="preserve">პნევმატური სატკეპნი </t>
  </si>
  <si>
    <t>4-1-260.</t>
  </si>
  <si>
    <t>4-1-256.</t>
  </si>
  <si>
    <t>პოლიეთილენის მილები      Ø100</t>
  </si>
  <si>
    <t>წყალარინების ტუმბოს მოწყობა</t>
  </si>
  <si>
    <t>ტუმბოს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</si>
</sst>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5" formatCode="#,##0.000"/>
    <numFmt numFmtId="167" formatCode="0.000"/>
    <numFmt numFmtId="168" formatCode="0.0"/>
    <numFmt numFmtId="169" formatCode="#,##0.0000"/>
    <numFmt numFmtId="170" formatCode="#,##0.0"/>
    <numFmt numFmtId="171" formatCode="0.0000"/>
    <numFmt numFmtId="172" formatCode="_-* #,##0.00_р_._-;\-* #,##0.00_р_._-;_-* &quot;-&quot;??_р_._-;_-@_-"/>
    <numFmt numFmtId="176" formatCode="#,##0.####;[Red]\(#,##0.####\);0.####"/>
    <numFmt numFmtId="177" formatCode="#,##0.##;[Red]\(#,##0.##\);0.##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Helv"/>
    </font>
    <font>
      <sz val="10"/>
      <color rgb="FFFF0000"/>
      <name val="Arial"/>
      <family val="2"/>
    </font>
    <font>
      <sz val="10"/>
      <name val="Arial Cyr"/>
      <family val="2"/>
      <charset val="204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rgb="FF0033CC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0033CC"/>
      <name val="Arial"/>
      <family val="2"/>
      <charset val="204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21" fillId="0" borderId="0"/>
    <xf numFmtId="0" fontId="8" fillId="0" borderId="0"/>
    <xf numFmtId="0" fontId="22" fillId="0" borderId="0"/>
    <xf numFmtId="0" fontId="10" fillId="0" borderId="0"/>
    <xf numFmtId="0" fontId="10" fillId="0" borderId="0"/>
    <xf numFmtId="0" fontId="11" fillId="0" borderId="0"/>
    <xf numFmtId="0" fontId="8" fillId="0" borderId="0"/>
    <xf numFmtId="0" fontId="11" fillId="0" borderId="0"/>
    <xf numFmtId="0" fontId="27" fillId="0" borderId="0"/>
    <xf numFmtId="43" fontId="8" fillId="0" borderId="0" applyFont="0" applyFill="0" applyBorder="0" applyAlignment="0" applyProtection="0"/>
    <xf numFmtId="0" fontId="11" fillId="0" borderId="0"/>
    <xf numFmtId="172" fontId="22" fillId="0" borderId="0" applyFont="0" applyFill="0" applyBorder="0" applyAlignment="0" applyProtection="0"/>
    <xf numFmtId="0" fontId="10" fillId="0" borderId="0"/>
    <xf numFmtId="172" fontId="3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31" fillId="0" borderId="0"/>
    <xf numFmtId="0" fontId="29" fillId="0" borderId="0"/>
    <xf numFmtId="0" fontId="29" fillId="0" borderId="0"/>
  </cellStyleXfs>
  <cellXfs count="45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9" applyFont="1" applyFill="1" applyBorder="1" applyAlignment="1">
      <alignment horizontal="center" vertical="center"/>
    </xf>
    <xf numFmtId="4" fontId="14" fillId="0" borderId="1" xfId="9" applyNumberFormat="1" applyFont="1" applyFill="1" applyBorder="1" applyAlignment="1">
      <alignment horizontal="center" vertical="center"/>
    </xf>
    <xf numFmtId="0" fontId="10" fillId="0" borderId="0" xfId="9" applyFont="1" applyFill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14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2" applyFont="1" applyFill="1" applyBorder="1" applyAlignment="1">
      <alignment horizontal="left" vertical="center" indent="1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 indent="1"/>
    </xf>
    <xf numFmtId="165" fontId="14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 wrapText="1"/>
    </xf>
    <xf numFmtId="4" fontId="14" fillId="0" borderId="0" xfId="9" applyNumberFormat="1" applyFont="1" applyFill="1" applyBorder="1" applyAlignment="1">
      <alignment horizontal="center" vertical="center" wrapText="1"/>
    </xf>
    <xf numFmtId="4" fontId="14" fillId="0" borderId="0" xfId="9" applyNumberFormat="1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center" wrapText="1"/>
    </xf>
    <xf numFmtId="4" fontId="14" fillId="0" borderId="0" xfId="9" applyNumberFormat="1" applyFont="1" applyFill="1" applyBorder="1" applyAlignment="1">
      <alignment horizontal="center" vertical="center"/>
    </xf>
    <xf numFmtId="4" fontId="14" fillId="0" borderId="0" xfId="9" applyNumberFormat="1" applyFont="1" applyFill="1" applyAlignment="1">
      <alignment horizontal="center" vertical="center"/>
    </xf>
    <xf numFmtId="1" fontId="19" fillId="0" borderId="0" xfId="9" applyNumberFormat="1" applyFont="1" applyFill="1" applyAlignment="1">
      <alignment horizontal="center" vertical="center"/>
    </xf>
    <xf numFmtId="1" fontId="20" fillId="0" borderId="1" xfId="9" applyNumberFormat="1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left" vertical="center" indent="1"/>
    </xf>
    <xf numFmtId="4" fontId="20" fillId="0" borderId="1" xfId="9" applyNumberFormat="1" applyFont="1" applyFill="1" applyBorder="1" applyAlignment="1">
      <alignment horizontal="center" vertical="center"/>
    </xf>
    <xf numFmtId="0" fontId="20" fillId="0" borderId="0" xfId="9" applyFont="1" applyFill="1" applyAlignment="1">
      <alignment vertical="center"/>
    </xf>
    <xf numFmtId="1" fontId="19" fillId="0" borderId="1" xfId="9" applyNumberFormat="1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left" vertical="center" wrapText="1" indent="1"/>
    </xf>
    <xf numFmtId="4" fontId="19" fillId="0" borderId="1" xfId="9" applyNumberFormat="1" applyFont="1" applyFill="1" applyBorder="1" applyAlignment="1">
      <alignment horizontal="center" vertical="center"/>
    </xf>
    <xf numFmtId="0" fontId="19" fillId="0" borderId="0" xfId="9" applyFont="1" applyFill="1" applyAlignment="1">
      <alignment vertical="center"/>
    </xf>
    <xf numFmtId="168" fontId="20" fillId="0" borderId="1" xfId="9" applyNumberFormat="1" applyFont="1" applyFill="1" applyBorder="1" applyAlignment="1">
      <alignment horizontal="center" vertical="center"/>
    </xf>
    <xf numFmtId="169" fontId="20" fillId="0" borderId="1" xfId="9" applyNumberFormat="1" applyFont="1" applyFill="1" applyBorder="1" applyAlignment="1">
      <alignment horizontal="center" vertical="center"/>
    </xf>
    <xf numFmtId="0" fontId="17" fillId="0" borderId="1" xfId="9" applyFont="1" applyFill="1" applyBorder="1" applyAlignment="1">
      <alignment horizontal="left" vertical="center" indent="1"/>
    </xf>
    <xf numFmtId="4" fontId="10" fillId="0" borderId="1" xfId="9" applyNumberFormat="1" applyFont="1" applyFill="1" applyBorder="1" applyAlignment="1">
      <alignment horizontal="center" vertical="center"/>
    </xf>
    <xf numFmtId="3" fontId="17" fillId="0" borderId="1" xfId="9" applyNumberFormat="1" applyFont="1" applyFill="1" applyBorder="1" applyAlignment="1">
      <alignment horizontal="center" vertical="center"/>
    </xf>
    <xf numFmtId="3" fontId="17" fillId="0" borderId="1" xfId="9" applyNumberFormat="1" applyFont="1" applyFill="1" applyBorder="1" applyAlignment="1">
      <alignment horizontal="left" vertical="center" indent="1"/>
    </xf>
    <xf numFmtId="0" fontId="17" fillId="0" borderId="1" xfId="9" applyFont="1" applyFill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left" vertical="center" indent="1"/>
    </xf>
    <xf numFmtId="0" fontId="18" fillId="0" borderId="1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left" vertical="center" wrapText="1" indent="1"/>
    </xf>
    <xf numFmtId="169" fontId="10" fillId="0" borderId="1" xfId="9" applyNumberFormat="1" applyFont="1" applyFill="1" applyBorder="1" applyAlignment="1">
      <alignment horizontal="center" vertical="center"/>
    </xf>
    <xf numFmtId="1" fontId="14" fillId="0" borderId="1" xfId="9" applyNumberFormat="1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left" vertical="center" wrapText="1" indent="1"/>
    </xf>
    <xf numFmtId="0" fontId="14" fillId="0" borderId="1" xfId="9" applyFont="1" applyFill="1" applyBorder="1" applyAlignment="1">
      <alignment horizontal="center" vertical="center"/>
    </xf>
    <xf numFmtId="1" fontId="10" fillId="0" borderId="1" xfId="9" applyNumberFormat="1" applyFont="1" applyFill="1" applyBorder="1" applyAlignment="1">
      <alignment horizontal="center" vertical="center"/>
    </xf>
    <xf numFmtId="165" fontId="10" fillId="0" borderId="1" xfId="9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8" fillId="0" borderId="1" xfId="9" applyFont="1" applyFill="1" applyBorder="1" applyAlignment="1">
      <alignment horizontal="left" vertical="center" indent="1"/>
    </xf>
    <xf numFmtId="0" fontId="14" fillId="0" borderId="0" xfId="9" applyFont="1" applyFill="1" applyAlignment="1">
      <alignment vertical="center"/>
    </xf>
    <xf numFmtId="1" fontId="10" fillId="5" borderId="1" xfId="9" applyNumberFormat="1" applyFont="1" applyFill="1" applyBorder="1" applyAlignment="1">
      <alignment horizontal="center" vertical="center"/>
    </xf>
    <xf numFmtId="1" fontId="17" fillId="5" borderId="1" xfId="9" applyNumberFormat="1" applyFont="1" applyFill="1" applyBorder="1" applyAlignment="1">
      <alignment horizontal="center" vertical="center"/>
    </xf>
    <xf numFmtId="4" fontId="14" fillId="5" borderId="1" xfId="9" applyNumberFormat="1" applyFont="1" applyFill="1" applyBorder="1" applyAlignment="1">
      <alignment horizontal="center" vertical="center"/>
    </xf>
    <xf numFmtId="0" fontId="10" fillId="5" borderId="0" xfId="9" applyFont="1" applyFill="1" applyAlignment="1">
      <alignment vertical="center"/>
    </xf>
    <xf numFmtId="3" fontId="18" fillId="0" borderId="1" xfId="9" applyNumberFormat="1" applyFont="1" applyFill="1" applyBorder="1" applyAlignment="1">
      <alignment horizontal="left" vertical="center" wrapText="1" indent="1"/>
    </xf>
    <xf numFmtId="3" fontId="18" fillId="0" borderId="1" xfId="9" applyNumberFormat="1" applyFont="1" applyFill="1" applyBorder="1" applyAlignment="1">
      <alignment horizontal="center" vertical="center"/>
    </xf>
    <xf numFmtId="170" fontId="10" fillId="0" borderId="1" xfId="9" applyNumberFormat="1" applyFont="1" applyFill="1" applyBorder="1" applyAlignment="1">
      <alignment horizontal="center" vertical="center"/>
    </xf>
    <xf numFmtId="4" fontId="14" fillId="0" borderId="3" xfId="9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4" fontId="14" fillId="0" borderId="0" xfId="0" applyNumberFormat="1" applyFont="1" applyFill="1" applyBorder="1" applyAlignment="1">
      <alignment horizontal="center" vertical="center"/>
    </xf>
    <xf numFmtId="1" fontId="10" fillId="0" borderId="0" xfId="9" applyNumberFormat="1" applyFont="1" applyFill="1" applyAlignment="1">
      <alignment horizontal="center" vertical="center"/>
    </xf>
    <xf numFmtId="0" fontId="10" fillId="0" borderId="0" xfId="9" applyFont="1" applyFill="1" applyAlignment="1">
      <alignment horizontal="left" vertical="center" wrapText="1" indent="1"/>
    </xf>
    <xf numFmtId="0" fontId="10" fillId="0" borderId="0" xfId="9" applyFont="1" applyFill="1" applyAlignment="1">
      <alignment horizontal="center" vertical="center"/>
    </xf>
    <xf numFmtId="4" fontId="10" fillId="0" borderId="0" xfId="9" applyNumberFormat="1" applyFont="1" applyFill="1" applyAlignment="1">
      <alignment horizontal="center" vertical="center"/>
    </xf>
    <xf numFmtId="1" fontId="10" fillId="0" borderId="0" xfId="9" applyNumberFormat="1" applyFont="1" applyFill="1" applyAlignment="1">
      <alignment vertical="center"/>
    </xf>
    <xf numFmtId="0" fontId="10" fillId="0" borderId="0" xfId="9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9" fillId="6" borderId="1" xfId="9" applyFont="1" applyFill="1" applyBorder="1" applyAlignment="1">
      <alignment horizontal="left" vertical="center" indent="1"/>
    </xf>
    <xf numFmtId="0" fontId="18" fillId="6" borderId="1" xfId="9" applyFont="1" applyFill="1" applyBorder="1" applyAlignment="1">
      <alignment horizontal="left" vertical="center" indent="1"/>
    </xf>
    <xf numFmtId="0" fontId="18" fillId="6" borderId="1" xfId="9" applyFont="1" applyFill="1" applyBorder="1" applyAlignment="1">
      <alignment horizontal="left" vertical="center" wrapText="1" indent="1"/>
    </xf>
    <xf numFmtId="0" fontId="10" fillId="0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6" borderId="1" xfId="9" applyFont="1" applyFill="1" applyBorder="1" applyAlignment="1">
      <alignment horizontal="left" vertical="center" wrapText="1" indent="1"/>
    </xf>
    <xf numFmtId="0" fontId="10" fillId="6" borderId="1" xfId="9" applyFont="1" applyFill="1" applyBorder="1" applyAlignment="1">
      <alignment horizontal="center" vertical="center"/>
    </xf>
    <xf numFmtId="4" fontId="10" fillId="6" borderId="1" xfId="9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1" fontId="10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left" vertical="center"/>
    </xf>
    <xf numFmtId="4" fontId="10" fillId="0" borderId="1" xfId="9" applyNumberFormat="1" applyFont="1" applyFill="1" applyBorder="1" applyAlignment="1">
      <alignment horizontal="right" vertical="center"/>
    </xf>
    <xf numFmtId="4" fontId="14" fillId="6" borderId="1" xfId="0" applyNumberFormat="1" applyFont="1" applyFill="1" applyBorder="1" applyAlignment="1">
      <alignment horizontal="right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1" xfId="9" applyFont="1" applyFill="1" applyBorder="1" applyAlignment="1">
      <alignment horizontal="center" vertical="center"/>
    </xf>
    <xf numFmtId="0" fontId="26" fillId="0" borderId="1" xfId="9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6" fillId="0" borderId="0" xfId="9" applyFont="1" applyFill="1" applyAlignment="1">
      <alignment vertical="center"/>
    </xf>
    <xf numFmtId="3" fontId="24" fillId="0" borderId="1" xfId="9" applyNumberFormat="1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15" fillId="0" borderId="0" xfId="9" applyNumberFormat="1" applyFont="1" applyFill="1" applyAlignment="1">
      <alignment horizontal="center" vertical="center"/>
    </xf>
    <xf numFmtId="0" fontId="15" fillId="0" borderId="0" xfId="9" applyFont="1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4" fillId="0" borderId="1" xfId="9" applyNumberFormat="1" applyFont="1" applyFill="1" applyBorder="1" applyAlignment="1">
      <alignment horizontal="right" vertical="center"/>
    </xf>
    <xf numFmtId="4" fontId="20" fillId="0" borderId="1" xfId="9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14" fillId="6" borderId="1" xfId="9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2" fontId="14" fillId="4" borderId="0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1" fontId="14" fillId="0" borderId="1" xfId="16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2" fontId="10" fillId="0" borderId="1" xfId="1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/>
    </xf>
    <xf numFmtId="9" fontId="10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70" fontId="14" fillId="6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/>
    </xf>
    <xf numFmtId="0" fontId="10" fillId="0" borderId="1" xfId="13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2" fontId="10" fillId="0" borderId="1" xfId="13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/>
    </xf>
    <xf numFmtId="171" fontId="10" fillId="0" borderId="1" xfId="0" applyNumberFormat="1" applyFont="1" applyFill="1" applyBorder="1" applyAlignment="1">
      <alignment horizontal="center"/>
    </xf>
    <xf numFmtId="2" fontId="10" fillId="0" borderId="1" xfId="14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68" fontId="33" fillId="0" borderId="1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168" fontId="33" fillId="0" borderId="0" xfId="0" applyNumberFormat="1" applyFont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168" fontId="34" fillId="0" borderId="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4" fillId="2" borderId="1" xfId="9" applyNumberFormat="1" applyFont="1" applyFill="1" applyBorder="1" applyAlignment="1">
      <alignment horizontal="center" vertical="center"/>
    </xf>
    <xf numFmtId="170" fontId="14" fillId="2" borderId="1" xfId="9" applyNumberFormat="1" applyFont="1" applyFill="1" applyBorder="1" applyAlignment="1">
      <alignment horizontal="center" vertical="center"/>
    </xf>
    <xf numFmtId="4" fontId="19" fillId="2" borderId="1" xfId="9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4" fontId="14" fillId="9" borderId="1" xfId="10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vertical="center" wrapText="1"/>
    </xf>
    <xf numFmtId="165" fontId="10" fillId="2" borderId="1" xfId="9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/>
    </xf>
    <xf numFmtId="0" fontId="17" fillId="6" borderId="1" xfId="9" applyFont="1" applyFill="1" applyBorder="1" applyAlignment="1">
      <alignment horizontal="center" vertical="center"/>
    </xf>
    <xf numFmtId="4" fontId="10" fillId="6" borderId="1" xfId="9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vertical="center"/>
    </xf>
    <xf numFmtId="2" fontId="17" fillId="0" borderId="0" xfId="0" quotePrefix="1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1" fillId="3" borderId="3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2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2" fontId="17" fillId="9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1" fillId="0" borderId="1" xfId="29" applyNumberFormat="1" applyFont="1" applyFill="1" applyBorder="1" applyAlignment="1">
      <alignment horizontal="center" vertical="center" wrapText="1"/>
    </xf>
    <xf numFmtId="0" fontId="11" fillId="0" borderId="1" xfId="30" applyFont="1" applyFill="1" applyBorder="1" applyAlignment="1">
      <alignment vertical="center"/>
    </xf>
    <xf numFmtId="0" fontId="11" fillId="0" borderId="1" xfId="30" applyFont="1" applyFill="1" applyBorder="1" applyAlignment="1">
      <alignment horizontal="center" vertical="center"/>
    </xf>
    <xf numFmtId="4" fontId="11" fillId="0" borderId="1" xfId="3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0" fontId="11" fillId="0" borderId="1" xfId="30" quotePrefix="1" applyFont="1" applyFill="1" applyBorder="1" applyAlignment="1">
      <alignment horizontal="center" vertical="center"/>
    </xf>
    <xf numFmtId="2" fontId="18" fillId="8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28" fillId="0" borderId="0" xfId="0" quotePrefix="1" applyFont="1" applyFill="1" applyBorder="1" applyAlignment="1">
      <alignment horizontal="center" vertical="center"/>
    </xf>
    <xf numFmtId="0" fontId="30" fillId="0" borderId="0" xfId="0" quotePrefix="1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5" borderId="0" xfId="0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1" xfId="30" applyFont="1" applyFill="1" applyBorder="1" applyAlignment="1">
      <alignment horizontal="center" vertical="center"/>
    </xf>
    <xf numFmtId="4" fontId="10" fillId="0" borderId="1" xfId="3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indent="1"/>
    </xf>
    <xf numFmtId="0" fontId="18" fillId="6" borderId="1" xfId="0" applyFont="1" applyFill="1" applyBorder="1" applyAlignment="1">
      <alignment horizontal="lef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176" fontId="10" fillId="0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right" vertical="center"/>
    </xf>
    <xf numFmtId="0" fontId="14" fillId="0" borderId="1" xfId="10" applyFont="1" applyFill="1" applyBorder="1" applyAlignment="1">
      <alignment horizontal="center" vertical="center" wrapText="1"/>
    </xf>
    <xf numFmtId="0" fontId="11" fillId="0" borderId="1" xfId="30" applyNumberFormat="1" applyFont="1" applyFill="1" applyBorder="1" applyAlignment="1">
      <alignment horizontal="center" vertical="center"/>
    </xf>
    <xf numFmtId="0" fontId="11" fillId="0" borderId="1" xfId="30" applyFont="1" applyFill="1" applyBorder="1" applyAlignment="1">
      <alignment horizontal="left" vertical="center"/>
    </xf>
    <xf numFmtId="165" fontId="11" fillId="0" borderId="1" xfId="3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quotePrefix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9" xfId="0" quotePrefix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3" xfId="0" quotePrefix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quotePrefix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0" fillId="0" borderId="1" xfId="16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0" fontId="1" fillId="0" borderId="0" xfId="0" applyFont="1"/>
    <xf numFmtId="0" fontId="37" fillId="0" borderId="0" xfId="0" applyFont="1"/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8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4" fontId="11" fillId="0" borderId="1" xfId="21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wrapText="1"/>
    </xf>
    <xf numFmtId="0" fontId="40" fillId="0" borderId="1" xfId="0" applyFont="1" applyFill="1" applyBorder="1"/>
    <xf numFmtId="0" fontId="1" fillId="0" borderId="0" xfId="0" applyFont="1" applyFill="1"/>
    <xf numFmtId="49" fontId="10" fillId="5" borderId="1" xfId="0" applyNumberFormat="1" applyFont="1" applyFill="1" applyBorder="1" applyAlignment="1">
      <alignment horizontal="center" vertical="center"/>
    </xf>
    <xf numFmtId="4" fontId="10" fillId="0" borderId="1" xfId="2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30" applyFont="1" applyFill="1" applyBorder="1" applyAlignment="1">
      <alignment horizontal="left"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0" fillId="5" borderId="1" xfId="0" quotePrefix="1" applyFont="1" applyFill="1" applyBorder="1" applyAlignment="1">
      <alignment horizontal="center" vertical="center"/>
    </xf>
    <xf numFmtId="4" fontId="14" fillId="11" borderId="1" xfId="0" applyNumberFormat="1" applyFont="1" applyFill="1" applyBorder="1" applyAlignment="1">
      <alignment horizontal="center" vertical="center"/>
    </xf>
    <xf numFmtId="0" fontId="10" fillId="5" borderId="1" xfId="30" applyNumberFormat="1" applyFont="1" applyFill="1" applyBorder="1" applyAlignment="1">
      <alignment horizontal="center" vertical="center"/>
    </xf>
    <xf numFmtId="0" fontId="10" fillId="5" borderId="1" xfId="30" quotePrefix="1" applyFont="1" applyFill="1" applyBorder="1" applyAlignment="1">
      <alignment horizontal="center" vertical="center" wrapText="1"/>
    </xf>
    <xf numFmtId="4" fontId="10" fillId="5" borderId="1" xfId="30" applyNumberFormat="1" applyFont="1" applyFill="1" applyBorder="1" applyAlignment="1">
      <alignment horizontal="center" vertical="center"/>
    </xf>
    <xf numFmtId="0" fontId="10" fillId="5" borderId="0" xfId="30" applyFont="1" applyFill="1" applyAlignment="1">
      <alignment vertical="center"/>
    </xf>
    <xf numFmtId="0" fontId="10" fillId="5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4" fontId="10" fillId="5" borderId="1" xfId="21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" fontId="43" fillId="0" borderId="1" xfId="21" applyNumberFormat="1" applyFont="1" applyFill="1" applyBorder="1" applyAlignment="1">
      <alignment horizontal="center" vertical="center"/>
    </xf>
    <xf numFmtId="0" fontId="14" fillId="5" borderId="1" xfId="0" quotePrefix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2" fontId="10" fillId="11" borderId="1" xfId="11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left" vertical="center" wrapText="1"/>
    </xf>
    <xf numFmtId="0" fontId="20" fillId="0" borderId="1" xfId="9" applyFont="1" applyFill="1" applyBorder="1" applyAlignment="1">
      <alignment horizontal="left" vertical="center" wrapText="1"/>
    </xf>
    <xf numFmtId="0" fontId="17" fillId="0" borderId="1" xfId="9" applyFont="1" applyFill="1" applyBorder="1" applyAlignment="1">
      <alignment horizontal="left" vertical="center" wrapText="1"/>
    </xf>
    <xf numFmtId="3" fontId="17" fillId="0" borderId="1" xfId="9" applyNumberFormat="1" applyFont="1" applyFill="1" applyBorder="1" applyAlignment="1">
      <alignment horizontal="left" vertical="center" wrapText="1"/>
    </xf>
    <xf numFmtId="1" fontId="17" fillId="0" borderId="1" xfId="9" applyNumberFormat="1" applyFont="1" applyFill="1" applyBorder="1" applyAlignment="1">
      <alignment horizontal="left" vertical="center" wrapText="1"/>
    </xf>
    <xf numFmtId="0" fontId="18" fillId="0" borderId="1" xfId="9" applyFont="1" applyFill="1" applyBorder="1" applyAlignment="1">
      <alignment horizontal="left" vertical="center" wrapText="1"/>
    </xf>
    <xf numFmtId="0" fontId="7" fillId="0" borderId="0" xfId="0" applyFont="1"/>
    <xf numFmtId="0" fontId="10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0" fillId="0" borderId="1" xfId="16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31">
    <cellStyle name="Comma 2" xfId="19" xr:uid="{00000000-0005-0000-0000-000001000000}"/>
    <cellStyle name="Comma 6" xfId="23" xr:uid="{00000000-0005-0000-0000-000002000000}"/>
    <cellStyle name="Normal" xfId="0" builtinId="0"/>
    <cellStyle name="Normal 10" xfId="4" xr:uid="{00000000-0005-0000-0000-000004000000}"/>
    <cellStyle name="Normal 11" xfId="30" xr:uid="{00000000-0005-0000-0000-000005000000}"/>
    <cellStyle name="Normal 11 2 2" xfId="26" xr:uid="{00000000-0005-0000-0000-000006000000}"/>
    <cellStyle name="Normal 13 2" xfId="28" xr:uid="{00000000-0005-0000-0000-000007000000}"/>
    <cellStyle name="Normal 13 5" xfId="16" xr:uid="{00000000-0005-0000-0000-000008000000}"/>
    <cellStyle name="Normal 16 2" xfId="7" xr:uid="{00000000-0005-0000-0000-000009000000}"/>
    <cellStyle name="Normal 2" xfId="11" xr:uid="{00000000-0005-0000-0000-00000A000000}"/>
    <cellStyle name="Normal 2 2" xfId="2" xr:uid="{00000000-0005-0000-0000-00000B000000}"/>
    <cellStyle name="Normal 29" xfId="6" xr:uid="{00000000-0005-0000-0000-00000C000000}"/>
    <cellStyle name="Normal 3" xfId="1" xr:uid="{00000000-0005-0000-0000-00000D000000}"/>
    <cellStyle name="Normal 3 10" xfId="22" xr:uid="{00000000-0005-0000-0000-00000E000000}"/>
    <cellStyle name="Normal 3 10 2" xfId="27" xr:uid="{00000000-0005-0000-0000-00000F000000}"/>
    <cellStyle name="Normal 3 2" xfId="24" xr:uid="{00000000-0005-0000-0000-000010000000}"/>
    <cellStyle name="Normal 37 2" xfId="15" xr:uid="{00000000-0005-0000-0000-000011000000}"/>
    <cellStyle name="Normal 38 2" xfId="25" xr:uid="{00000000-0005-0000-0000-000012000000}"/>
    <cellStyle name="Normal 8" xfId="3" xr:uid="{00000000-0005-0000-0000-000013000000}"/>
    <cellStyle name="Normal 9" xfId="9" xr:uid="{00000000-0005-0000-0000-000014000000}"/>
    <cellStyle name="Normal 9 2" xfId="20" xr:uid="{00000000-0005-0000-0000-000015000000}"/>
    <cellStyle name="Normal_gare wyalsadfenigagarini" xfId="13" xr:uid="{00000000-0005-0000-0000-000017000000}"/>
    <cellStyle name="Normal_gare wyalsadfenigagarini 10" xfId="14" xr:uid="{00000000-0005-0000-0000-000018000000}"/>
    <cellStyle name="Normal_stadion-1" xfId="10" xr:uid="{00000000-0005-0000-0000-00001A000000}"/>
    <cellStyle name="Percent 2" xfId="5" xr:uid="{00000000-0005-0000-0000-00001C000000}"/>
    <cellStyle name="Style 1" xfId="18" xr:uid="{00000000-0005-0000-0000-00001D000000}"/>
    <cellStyle name="Обычный 2" xfId="8" xr:uid="{00000000-0005-0000-0000-00001E000000}"/>
    <cellStyle name="Обычный 3" xfId="12" xr:uid="{00000000-0005-0000-0000-00001F000000}"/>
    <cellStyle name="Обычный 5 2 2" xfId="17" xr:uid="{00000000-0005-0000-0000-000020000000}"/>
    <cellStyle name="Финансовый 2" xfId="21" xr:uid="{00000000-0005-0000-0000-000021000000}"/>
    <cellStyle name="ჩვეულებრივი 2" xfId="29" xr:uid="{00000000-0005-0000-0000-000022000000}"/>
  </cellStyles>
  <dxfs count="0"/>
  <tableStyles count="0" defaultTableStyle="TableStyleMedium2" defaultPivotStyle="PivotStyleMedium9"/>
  <colors>
    <mruColors>
      <color rgb="FFFF75AD"/>
      <color rgb="FFFFCCFF"/>
      <color rgb="FF00FF00"/>
      <color rgb="FF66FFFF"/>
      <color rgb="FF99FFCC"/>
      <color rgb="FFFF0066"/>
      <color rgb="FFFF99FF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316"/>
  <sheetViews>
    <sheetView tabSelected="1" view="pageBreakPreview" zoomScaleNormal="90" zoomScaleSheetLayoutView="100" workbookViewId="0">
      <selection activeCell="K36" sqref="K36"/>
    </sheetView>
  </sheetViews>
  <sheetFormatPr baseColWidth="10" defaultColWidth="8.83203125" defaultRowHeight="13"/>
  <cols>
    <col min="1" max="1" width="5.33203125" style="98" customWidth="1"/>
    <col min="2" max="2" width="15.33203125" style="145" customWidth="1"/>
    <col min="3" max="3" width="61.83203125" style="99" customWidth="1"/>
    <col min="4" max="4" width="8.33203125" style="96" customWidth="1"/>
    <col min="5" max="5" width="8.1640625" style="96" customWidth="1"/>
    <col min="6" max="6" width="9.83203125" style="96" customWidth="1"/>
    <col min="7" max="7" width="9" style="96" customWidth="1"/>
    <col min="8" max="8" width="10.83203125" style="96" customWidth="1"/>
    <col min="9" max="9" width="6.83203125" style="96" customWidth="1"/>
    <col min="10" max="10" width="9.83203125" style="96" customWidth="1"/>
    <col min="11" max="11" width="8.5" style="96" customWidth="1"/>
    <col min="12" max="12" width="10" style="96" customWidth="1"/>
    <col min="13" max="13" width="12.5" style="96" customWidth="1"/>
    <col min="14" max="14" width="9.5" style="42" customWidth="1"/>
    <col min="15" max="15" width="11.83203125" style="42" customWidth="1"/>
    <col min="16" max="16384" width="8.83203125" style="24"/>
  </cols>
  <sheetData>
    <row r="1" spans="1:15">
      <c r="A1" s="119"/>
      <c r="B1" s="124"/>
      <c r="C1" s="12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1"/>
      <c r="O1" s="41"/>
    </row>
    <row r="2" spans="1:15" s="21" customFormat="1" ht="30.75" customHeight="1">
      <c r="A2" s="427" t="s">
        <v>135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25"/>
      <c r="O2" s="25"/>
    </row>
    <row r="3" spans="1:15" s="21" customFormat="1">
      <c r="A3" s="424" t="s">
        <v>25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25"/>
      <c r="O3" s="25"/>
    </row>
    <row r="4" spans="1:15" s="26" customFormat="1" ht="16">
      <c r="A4" s="428" t="s">
        <v>136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25"/>
      <c r="O4" s="25"/>
    </row>
    <row r="5" spans="1:15" s="21" customFormat="1">
      <c r="A5" s="429" t="s">
        <v>32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27"/>
      <c r="O5" s="27"/>
    </row>
    <row r="6" spans="1:15" s="26" customFormat="1">
      <c r="A6" s="111"/>
      <c r="B6" s="125"/>
      <c r="C6" s="111"/>
      <c r="D6" s="28"/>
      <c r="E6" s="28"/>
      <c r="F6" s="28"/>
      <c r="G6" s="28"/>
      <c r="H6" s="28"/>
      <c r="I6" s="28"/>
      <c r="J6" s="28"/>
      <c r="K6" s="28"/>
      <c r="L6" s="28"/>
      <c r="M6" s="28"/>
      <c r="N6" s="25"/>
      <c r="O6" s="25"/>
    </row>
    <row r="7" spans="1:15" s="26" customFormat="1" ht="14">
      <c r="A7" s="430" t="s">
        <v>33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25"/>
      <c r="O7" s="25"/>
    </row>
    <row r="8" spans="1:15" s="26" customFormat="1">
      <c r="A8" s="111"/>
      <c r="B8" s="125"/>
      <c r="C8" s="111"/>
      <c r="D8" s="28"/>
      <c r="E8" s="28"/>
      <c r="F8" s="28"/>
      <c r="G8" s="28"/>
      <c r="H8" s="28"/>
      <c r="I8" s="28"/>
      <c r="J8" s="28"/>
      <c r="K8" s="28"/>
      <c r="L8" s="28"/>
      <c r="M8" s="28"/>
      <c r="N8" s="25"/>
      <c r="O8" s="25"/>
    </row>
    <row r="9" spans="1:15" s="26" customFormat="1">
      <c r="A9" s="426" t="s">
        <v>134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25"/>
      <c r="O9" s="25"/>
    </row>
    <row r="10" spans="1:15" s="26" customFormat="1">
      <c r="A10" s="111"/>
      <c r="B10" s="125"/>
      <c r="C10" s="11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5"/>
      <c r="O10" s="25"/>
    </row>
    <row r="11" spans="1:15" s="21" customFormat="1">
      <c r="B11" s="126" t="s">
        <v>34</v>
      </c>
      <c r="C11" s="29" t="s">
        <v>35</v>
      </c>
      <c r="D11" s="110"/>
      <c r="E11" s="110"/>
      <c r="F11" s="110"/>
      <c r="G11" s="30"/>
      <c r="H11" s="30"/>
      <c r="I11" s="110"/>
      <c r="J11" s="30"/>
      <c r="K11" s="31" t="s">
        <v>27</v>
      </c>
      <c r="L11" s="32">
        <f>M302/1000</f>
        <v>0</v>
      </c>
      <c r="M11" s="110" t="s">
        <v>28</v>
      </c>
      <c r="N11" s="25"/>
      <c r="O11" s="25"/>
    </row>
    <row r="12" spans="1:15" s="33" customFormat="1">
      <c r="B12" s="127"/>
      <c r="C12" s="35"/>
      <c r="D12" s="36"/>
      <c r="E12" s="36"/>
      <c r="F12" s="36"/>
      <c r="G12" s="30"/>
      <c r="H12" s="30"/>
      <c r="I12" s="36"/>
      <c r="J12" s="30"/>
      <c r="K12" s="31" t="s">
        <v>36</v>
      </c>
      <c r="L12" s="32">
        <f>J296/1000</f>
        <v>0</v>
      </c>
      <c r="M12" s="110" t="s">
        <v>28</v>
      </c>
      <c r="N12" s="37"/>
      <c r="O12" s="37"/>
    </row>
    <row r="13" spans="1:15" s="33" customFormat="1">
      <c r="A13" s="34"/>
      <c r="B13" s="128"/>
      <c r="C13" s="34"/>
      <c r="D13" s="36"/>
      <c r="E13" s="36"/>
      <c r="F13" s="36"/>
      <c r="G13" s="110"/>
      <c r="H13" s="110"/>
      <c r="I13" s="36"/>
      <c r="J13" s="110"/>
      <c r="K13" s="110"/>
      <c r="L13" s="32"/>
      <c r="M13" s="110"/>
      <c r="N13" s="37"/>
      <c r="O13" s="37"/>
    </row>
    <row r="14" spans="1:15" s="40" customFormat="1" ht="35.25" customHeight="1">
      <c r="A14" s="432" t="s">
        <v>37</v>
      </c>
      <c r="B14" s="433" t="s">
        <v>38</v>
      </c>
      <c r="C14" s="431" t="s">
        <v>39</v>
      </c>
      <c r="D14" s="431" t="s">
        <v>40</v>
      </c>
      <c r="E14" s="432" t="s">
        <v>41</v>
      </c>
      <c r="F14" s="432"/>
      <c r="G14" s="431" t="s">
        <v>42</v>
      </c>
      <c r="H14" s="431"/>
      <c r="I14" s="431" t="s">
        <v>43</v>
      </c>
      <c r="J14" s="431"/>
      <c r="K14" s="432" t="s">
        <v>44</v>
      </c>
      <c r="L14" s="432"/>
      <c r="M14" s="432" t="s">
        <v>30</v>
      </c>
      <c r="N14" s="38"/>
      <c r="O14" s="39"/>
    </row>
    <row r="15" spans="1:15" s="40" customFormat="1" ht="23.25" customHeight="1">
      <c r="A15" s="432"/>
      <c r="B15" s="433"/>
      <c r="C15" s="431"/>
      <c r="D15" s="431"/>
      <c r="E15" s="147" t="s">
        <v>45</v>
      </c>
      <c r="F15" s="147" t="s">
        <v>1</v>
      </c>
      <c r="G15" s="147" t="s">
        <v>45</v>
      </c>
      <c r="H15" s="147" t="s">
        <v>1</v>
      </c>
      <c r="I15" s="147" t="s">
        <v>45</v>
      </c>
      <c r="J15" s="147" t="s">
        <v>1</v>
      </c>
      <c r="K15" s="147" t="s">
        <v>45</v>
      </c>
      <c r="L15" s="147" t="s">
        <v>1</v>
      </c>
      <c r="M15" s="432"/>
      <c r="N15" s="38"/>
      <c r="O15" s="39"/>
    </row>
    <row r="16" spans="1:15" s="43" customFormat="1">
      <c r="A16" s="147">
        <v>1</v>
      </c>
      <c r="B16" s="135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147">
        <v>9</v>
      </c>
      <c r="J16" s="147">
        <v>10</v>
      </c>
      <c r="K16" s="147">
        <v>11</v>
      </c>
      <c r="L16" s="147">
        <v>12</v>
      </c>
      <c r="M16" s="240">
        <v>13</v>
      </c>
      <c r="N16" s="41"/>
      <c r="O16" s="42"/>
    </row>
    <row r="17" spans="1:15" s="48" customFormat="1">
      <c r="A17" s="44"/>
      <c r="B17" s="129"/>
      <c r="C17" s="107" t="s">
        <v>107</v>
      </c>
      <c r="D17" s="45"/>
      <c r="E17" s="47"/>
      <c r="F17" s="47"/>
      <c r="G17" s="47"/>
      <c r="H17" s="47"/>
      <c r="I17" s="47"/>
      <c r="J17" s="47"/>
      <c r="K17" s="47"/>
      <c r="L17" s="47"/>
      <c r="M17" s="47"/>
      <c r="N17" s="41"/>
      <c r="O17" s="42"/>
    </row>
    <row r="18" spans="1:15" s="53" customFormat="1" ht="28">
      <c r="A18" s="49">
        <v>1</v>
      </c>
      <c r="B18" s="130"/>
      <c r="C18" s="51" t="s">
        <v>155</v>
      </c>
      <c r="D18" s="50" t="s">
        <v>22</v>
      </c>
      <c r="E18" s="52"/>
      <c r="F18" s="229">
        <f>'მოცულ. რ.ბ'!F112</f>
        <v>560</v>
      </c>
      <c r="G18" s="149"/>
      <c r="H18" s="149"/>
      <c r="I18" s="149"/>
      <c r="J18" s="149"/>
      <c r="K18" s="149"/>
      <c r="L18" s="149"/>
      <c r="M18" s="149"/>
      <c r="N18" s="23">
        <f>O18/F18</f>
        <v>0</v>
      </c>
      <c r="O18" s="23">
        <f>SUM(M19:M24)</f>
        <v>0</v>
      </c>
    </row>
    <row r="19" spans="1:15" s="48" customFormat="1">
      <c r="A19" s="54"/>
      <c r="B19" s="129" t="s">
        <v>46</v>
      </c>
      <c r="C19" s="46" t="s">
        <v>47</v>
      </c>
      <c r="D19" s="45" t="s">
        <v>48</v>
      </c>
      <c r="E19" s="47"/>
      <c r="F19" s="55">
        <f>F18/1000</f>
        <v>0.56000000000000005</v>
      </c>
      <c r="G19" s="150"/>
      <c r="H19" s="150"/>
      <c r="I19" s="150"/>
      <c r="J19" s="150"/>
      <c r="K19" s="150"/>
      <c r="L19" s="150"/>
      <c r="M19" s="150"/>
      <c r="N19" s="23"/>
      <c r="O19" s="23"/>
    </row>
    <row r="20" spans="1:15" s="48" customFormat="1">
      <c r="A20" s="44"/>
      <c r="B20" s="129"/>
      <c r="C20" s="56" t="s">
        <v>49</v>
      </c>
      <c r="D20" s="22" t="s">
        <v>50</v>
      </c>
      <c r="E20" s="57">
        <v>20</v>
      </c>
      <c r="F20" s="57">
        <f>E20*F19</f>
        <v>11.200000000000001</v>
      </c>
      <c r="G20" s="122"/>
      <c r="H20" s="122"/>
      <c r="I20" s="122"/>
      <c r="J20" s="122"/>
      <c r="K20" s="122"/>
      <c r="L20" s="122"/>
      <c r="M20" s="122"/>
      <c r="N20" s="23"/>
      <c r="O20" s="23"/>
    </row>
    <row r="21" spans="1:15" s="48" customFormat="1">
      <c r="A21" s="44"/>
      <c r="B21" s="131" t="s">
        <v>197</v>
      </c>
      <c r="C21" s="59" t="s">
        <v>92</v>
      </c>
      <c r="D21" s="58" t="s">
        <v>62</v>
      </c>
      <c r="E21" s="47">
        <v>44.8</v>
      </c>
      <c r="F21" s="47">
        <f>E21*F19</f>
        <v>25.088000000000001</v>
      </c>
      <c r="G21" s="150"/>
      <c r="H21" s="150"/>
      <c r="I21" s="150"/>
      <c r="J21" s="150"/>
      <c r="K21" s="150"/>
      <c r="L21" s="122"/>
      <c r="M21" s="122"/>
      <c r="N21" s="23"/>
      <c r="O21" s="23"/>
    </row>
    <row r="22" spans="1:15" s="48" customFormat="1">
      <c r="A22" s="44"/>
      <c r="B22" s="132"/>
      <c r="C22" s="56" t="s">
        <v>72</v>
      </c>
      <c r="D22" s="60" t="s">
        <v>73</v>
      </c>
      <c r="E22" s="57">
        <v>2.1</v>
      </c>
      <c r="F22" s="57">
        <f>E22*F19</f>
        <v>1.1760000000000002</v>
      </c>
      <c r="G22" s="122"/>
      <c r="H22" s="122"/>
      <c r="I22" s="122"/>
      <c r="J22" s="122"/>
      <c r="K22" s="122"/>
      <c r="L22" s="122"/>
      <c r="M22" s="122"/>
      <c r="N22" s="23"/>
      <c r="O22" s="23"/>
    </row>
    <row r="23" spans="1:15" s="48" customFormat="1">
      <c r="A23" s="54">
        <v>1.2</v>
      </c>
      <c r="B23" s="132"/>
      <c r="C23" s="56" t="s">
        <v>186</v>
      </c>
      <c r="D23" s="60" t="s">
        <v>51</v>
      </c>
      <c r="E23" s="57">
        <v>1.8</v>
      </c>
      <c r="F23" s="57">
        <f>E23*F18</f>
        <v>1008</v>
      </c>
      <c r="G23" s="122"/>
      <c r="H23" s="122"/>
      <c r="I23" s="122"/>
      <c r="J23" s="122"/>
      <c r="K23" s="122"/>
      <c r="L23" s="122"/>
      <c r="M23" s="122"/>
      <c r="N23" s="23"/>
      <c r="O23" s="23"/>
    </row>
    <row r="24" spans="1:15" s="48" customFormat="1">
      <c r="A24" s="44"/>
      <c r="B24" s="133" t="s">
        <v>187</v>
      </c>
      <c r="C24" s="62" t="s">
        <v>200</v>
      </c>
      <c r="D24" s="61" t="s">
        <v>51</v>
      </c>
      <c r="E24" s="57">
        <v>1</v>
      </c>
      <c r="F24" s="57">
        <f>E24*F23</f>
        <v>1008</v>
      </c>
      <c r="G24" s="122"/>
      <c r="H24" s="122"/>
      <c r="I24" s="122"/>
      <c r="J24" s="122"/>
      <c r="K24" s="122"/>
      <c r="L24" s="122"/>
      <c r="M24" s="122"/>
      <c r="N24" s="23"/>
      <c r="O24" s="23"/>
    </row>
    <row r="25" spans="1:15" s="48" customFormat="1">
      <c r="A25" s="44"/>
      <c r="B25" s="133"/>
      <c r="C25" s="62"/>
      <c r="D25" s="61"/>
      <c r="E25" s="57"/>
      <c r="F25" s="57"/>
      <c r="G25" s="122"/>
      <c r="H25" s="122"/>
      <c r="I25" s="122"/>
      <c r="J25" s="122"/>
      <c r="K25" s="122"/>
      <c r="L25" s="122"/>
      <c r="M25" s="122"/>
      <c r="N25" s="23"/>
      <c r="O25" s="23"/>
    </row>
    <row r="26" spans="1:15" s="48" customFormat="1" ht="14">
      <c r="A26" s="49">
        <v>2</v>
      </c>
      <c r="B26" s="132"/>
      <c r="C26" s="51" t="s">
        <v>113</v>
      </c>
      <c r="D26" s="63" t="s">
        <v>22</v>
      </c>
      <c r="E26" s="23"/>
      <c r="F26" s="227">
        <f>F18*25%*7%</f>
        <v>9.8000000000000007</v>
      </c>
      <c r="G26" s="149"/>
      <c r="H26" s="149"/>
      <c r="I26" s="149"/>
      <c r="J26" s="149"/>
      <c r="K26" s="149"/>
      <c r="L26" s="149"/>
      <c r="M26" s="149"/>
      <c r="N26" s="23">
        <f>O26/F26</f>
        <v>0</v>
      </c>
      <c r="O26" s="23">
        <f>SUM(M27:M28)</f>
        <v>0</v>
      </c>
    </row>
    <row r="27" spans="1:15" s="53" customFormat="1" ht="14">
      <c r="A27" s="54">
        <v>2.1</v>
      </c>
      <c r="B27" s="132" t="s">
        <v>52</v>
      </c>
      <c r="C27" s="64" t="s">
        <v>53</v>
      </c>
      <c r="D27" s="60" t="s">
        <v>54</v>
      </c>
      <c r="E27" s="57"/>
      <c r="F27" s="65">
        <f>F26/100</f>
        <v>9.8000000000000004E-2</v>
      </c>
      <c r="G27" s="149"/>
      <c r="H27" s="149"/>
      <c r="I27" s="149"/>
      <c r="J27" s="149"/>
      <c r="K27" s="149"/>
      <c r="L27" s="149"/>
      <c r="M27" s="149"/>
      <c r="N27" s="23"/>
      <c r="O27" s="23"/>
    </row>
    <row r="28" spans="1:15" s="48" customFormat="1">
      <c r="A28" s="44"/>
      <c r="B28" s="132"/>
      <c r="C28" s="56" t="s">
        <v>49</v>
      </c>
      <c r="D28" s="22" t="s">
        <v>50</v>
      </c>
      <c r="E28" s="57">
        <v>206</v>
      </c>
      <c r="F28" s="57">
        <f>E28*F27</f>
        <v>20.188000000000002</v>
      </c>
      <c r="G28" s="122"/>
      <c r="H28" s="122"/>
      <c r="I28" s="122"/>
      <c r="J28" s="122"/>
      <c r="K28" s="122"/>
      <c r="L28" s="122"/>
      <c r="M28" s="122"/>
      <c r="N28" s="23"/>
      <c r="O28" s="23"/>
    </row>
    <row r="29" spans="1:15" s="53" customFormat="1" ht="28">
      <c r="A29" s="49">
        <v>3</v>
      </c>
      <c r="B29" s="134"/>
      <c r="C29" s="67" t="s">
        <v>64</v>
      </c>
      <c r="D29" s="63" t="s">
        <v>22</v>
      </c>
      <c r="E29" s="23"/>
      <c r="F29" s="227">
        <f>'მოცულ. რ.ბ'!I124</f>
        <v>34.190400000000004</v>
      </c>
      <c r="G29" s="149"/>
      <c r="H29" s="149"/>
      <c r="I29" s="149"/>
      <c r="J29" s="149"/>
      <c r="K29" s="149"/>
      <c r="L29" s="149"/>
      <c r="M29" s="149"/>
      <c r="N29" s="23">
        <f>O29/F29</f>
        <v>0</v>
      </c>
      <c r="O29" s="23">
        <f>SUM(M30:M35)</f>
        <v>0</v>
      </c>
    </row>
    <row r="30" spans="1:15" s="48" customFormat="1">
      <c r="A30" s="54">
        <v>3.1</v>
      </c>
      <c r="B30" s="129" t="s">
        <v>65</v>
      </c>
      <c r="C30" s="46" t="s">
        <v>66</v>
      </c>
      <c r="D30" s="45" t="s">
        <v>48</v>
      </c>
      <c r="E30" s="47"/>
      <c r="F30" s="55">
        <f>F29/1000</f>
        <v>3.4190400000000003E-2</v>
      </c>
      <c r="G30" s="150"/>
      <c r="H30" s="150"/>
      <c r="I30" s="150"/>
      <c r="J30" s="150"/>
      <c r="K30" s="150"/>
      <c r="L30" s="150"/>
      <c r="M30" s="150"/>
      <c r="N30" s="23"/>
      <c r="O30" s="23"/>
    </row>
    <row r="31" spans="1:15" s="48" customFormat="1">
      <c r="A31" s="44"/>
      <c r="B31" s="129"/>
      <c r="C31" s="56" t="s">
        <v>49</v>
      </c>
      <c r="D31" s="22" t="s">
        <v>50</v>
      </c>
      <c r="E31" s="57">
        <v>15.5</v>
      </c>
      <c r="F31" s="57">
        <f>E31*F30</f>
        <v>0.52995120000000007</v>
      </c>
      <c r="G31" s="122"/>
      <c r="H31" s="122"/>
      <c r="I31" s="122"/>
      <c r="J31" s="122"/>
      <c r="K31" s="122"/>
      <c r="L31" s="122"/>
      <c r="M31" s="122"/>
      <c r="N31" s="23"/>
      <c r="O31" s="23"/>
    </row>
    <row r="32" spans="1:15" s="48" customFormat="1">
      <c r="A32" s="44"/>
      <c r="B32" s="131" t="s">
        <v>197</v>
      </c>
      <c r="C32" s="59" t="s">
        <v>92</v>
      </c>
      <c r="D32" s="58" t="s">
        <v>62</v>
      </c>
      <c r="E32" s="47">
        <v>34.700000000000003</v>
      </c>
      <c r="F32" s="47">
        <f>E32*F30</f>
        <v>1.1864068800000003</v>
      </c>
      <c r="G32" s="150"/>
      <c r="H32" s="150"/>
      <c r="I32" s="150"/>
      <c r="J32" s="150"/>
      <c r="K32" s="150"/>
      <c r="L32" s="122"/>
      <c r="M32" s="122"/>
      <c r="N32" s="23"/>
      <c r="O32" s="23"/>
    </row>
    <row r="33" spans="1:15" s="48" customFormat="1">
      <c r="A33" s="44"/>
      <c r="B33" s="132"/>
      <c r="C33" s="56" t="s">
        <v>72</v>
      </c>
      <c r="D33" s="60" t="s">
        <v>73</v>
      </c>
      <c r="E33" s="57">
        <v>2.09</v>
      </c>
      <c r="F33" s="57">
        <f>E33*F30</f>
        <v>7.1457936E-2</v>
      </c>
      <c r="G33" s="122"/>
      <c r="H33" s="122"/>
      <c r="I33" s="122"/>
      <c r="J33" s="122"/>
      <c r="K33" s="122"/>
      <c r="L33" s="122"/>
      <c r="M33" s="122"/>
      <c r="N33" s="23"/>
      <c r="O33" s="23"/>
    </row>
    <row r="34" spans="1:15" s="48" customFormat="1">
      <c r="A34" s="54">
        <v>3.2</v>
      </c>
      <c r="B34" s="132"/>
      <c r="C34" s="56" t="s">
        <v>201</v>
      </c>
      <c r="D34" s="60" t="s">
        <v>51</v>
      </c>
      <c r="E34" s="57">
        <v>1.6</v>
      </c>
      <c r="F34" s="57">
        <f>E34*F29</f>
        <v>54.704640000000012</v>
      </c>
      <c r="G34" s="122"/>
      <c r="H34" s="122"/>
      <c r="I34" s="122"/>
      <c r="J34" s="122"/>
      <c r="K34" s="122"/>
      <c r="L34" s="122"/>
      <c r="M34" s="122"/>
      <c r="N34" s="23"/>
      <c r="O34" s="23"/>
    </row>
    <row r="35" spans="1:15" s="48" customFormat="1">
      <c r="A35" s="44"/>
      <c r="B35" s="133" t="s">
        <v>187</v>
      </c>
      <c r="C35" s="62" t="s">
        <v>200</v>
      </c>
      <c r="D35" s="61" t="s">
        <v>51</v>
      </c>
      <c r="E35" s="57">
        <v>1</v>
      </c>
      <c r="F35" s="57">
        <f>E35*F34</f>
        <v>54.704640000000012</v>
      </c>
      <c r="G35" s="122"/>
      <c r="H35" s="122"/>
      <c r="I35" s="122"/>
      <c r="J35" s="122"/>
      <c r="K35" s="122"/>
      <c r="L35" s="122"/>
      <c r="M35" s="122"/>
      <c r="N35" s="23"/>
      <c r="O35" s="23"/>
    </row>
    <row r="36" spans="1:15" s="53" customFormat="1">
      <c r="A36" s="49">
        <v>4</v>
      </c>
      <c r="B36" s="134"/>
      <c r="C36" s="79" t="s">
        <v>67</v>
      </c>
      <c r="D36" s="63" t="s">
        <v>22</v>
      </c>
      <c r="E36" s="23"/>
      <c r="F36" s="227">
        <f>F29</f>
        <v>34.190400000000004</v>
      </c>
      <c r="G36" s="149"/>
      <c r="H36" s="149"/>
      <c r="I36" s="149"/>
      <c r="J36" s="149"/>
      <c r="K36" s="149"/>
      <c r="L36" s="149"/>
      <c r="M36" s="149"/>
      <c r="N36" s="23">
        <f>O36/F36</f>
        <v>0</v>
      </c>
      <c r="O36" s="23">
        <f>SUM(M37:M42)</f>
        <v>0</v>
      </c>
    </row>
    <row r="37" spans="1:15" s="53" customFormat="1" ht="14">
      <c r="A37" s="54">
        <v>4.0999999999999996</v>
      </c>
      <c r="B37" s="132" t="s">
        <v>68</v>
      </c>
      <c r="C37" s="64" t="s">
        <v>69</v>
      </c>
      <c r="D37" s="60" t="s">
        <v>54</v>
      </c>
      <c r="E37" s="57"/>
      <c r="F37" s="65">
        <f>F36/100</f>
        <v>0.34190400000000004</v>
      </c>
      <c r="G37" s="149"/>
      <c r="H37" s="149"/>
      <c r="I37" s="149"/>
      <c r="J37" s="149"/>
      <c r="K37" s="149"/>
      <c r="L37" s="149"/>
      <c r="M37" s="149"/>
      <c r="N37" s="23"/>
      <c r="O37" s="23"/>
    </row>
    <row r="38" spans="1:15" s="48" customFormat="1">
      <c r="A38" s="44"/>
      <c r="B38" s="132"/>
      <c r="C38" s="56" t="s">
        <v>49</v>
      </c>
      <c r="D38" s="22" t="s">
        <v>50</v>
      </c>
      <c r="E38" s="57">
        <v>99.3</v>
      </c>
      <c r="F38" s="57">
        <f>E38*F37</f>
        <v>33.951067200000004</v>
      </c>
      <c r="G38" s="122"/>
      <c r="H38" s="122"/>
      <c r="I38" s="122"/>
      <c r="J38" s="122"/>
      <c r="K38" s="122"/>
      <c r="L38" s="122"/>
      <c r="M38" s="122"/>
      <c r="N38" s="23"/>
      <c r="O38" s="23"/>
    </row>
    <row r="39" spans="1:15" s="48" customFormat="1">
      <c r="A39" s="54">
        <v>4.2</v>
      </c>
      <c r="B39" s="132" t="s">
        <v>70</v>
      </c>
      <c r="C39" s="56" t="s">
        <v>71</v>
      </c>
      <c r="D39" s="60" t="s">
        <v>54</v>
      </c>
      <c r="E39" s="57"/>
      <c r="F39" s="65">
        <f>F36/100</f>
        <v>0.34190400000000004</v>
      </c>
      <c r="G39" s="122"/>
      <c r="H39" s="122"/>
      <c r="I39" s="122"/>
      <c r="J39" s="122"/>
      <c r="K39" s="122"/>
      <c r="L39" s="122"/>
      <c r="M39" s="122"/>
      <c r="N39" s="23"/>
      <c r="O39" s="23"/>
    </row>
    <row r="40" spans="1:15" s="48" customFormat="1">
      <c r="A40" s="44"/>
      <c r="B40" s="129"/>
      <c r="C40" s="56" t="s">
        <v>49</v>
      </c>
      <c r="D40" s="22" t="s">
        <v>50</v>
      </c>
      <c r="E40" s="57">
        <v>11.2</v>
      </c>
      <c r="F40" s="57">
        <f>E40*F39</f>
        <v>3.8293248000000002</v>
      </c>
      <c r="G40" s="122"/>
      <c r="H40" s="122"/>
      <c r="I40" s="122"/>
      <c r="J40" s="122"/>
      <c r="K40" s="122"/>
      <c r="L40" s="122"/>
      <c r="M40" s="122"/>
      <c r="N40" s="23"/>
      <c r="O40" s="23"/>
    </row>
    <row r="41" spans="1:15" s="48" customFormat="1">
      <c r="A41" s="44"/>
      <c r="B41" s="131" t="s">
        <v>199</v>
      </c>
      <c r="C41" s="59" t="s">
        <v>91</v>
      </c>
      <c r="D41" s="58" t="s">
        <v>62</v>
      </c>
      <c r="E41" s="47">
        <f>E42/4</f>
        <v>2.7250000000000001</v>
      </c>
      <c r="F41" s="47">
        <f>E41*F39</f>
        <v>0.93168840000000019</v>
      </c>
      <c r="G41" s="150"/>
      <c r="H41" s="150"/>
      <c r="I41" s="150"/>
      <c r="J41" s="150"/>
      <c r="K41" s="150"/>
      <c r="L41" s="122"/>
      <c r="M41" s="122"/>
      <c r="N41" s="23"/>
      <c r="O41" s="23"/>
    </row>
    <row r="42" spans="1:15" s="48" customFormat="1">
      <c r="A42" s="44"/>
      <c r="B42" s="132" t="s">
        <v>119</v>
      </c>
      <c r="C42" s="56" t="s">
        <v>94</v>
      </c>
      <c r="D42" s="60" t="s">
        <v>62</v>
      </c>
      <c r="E42" s="57">
        <v>10.9</v>
      </c>
      <c r="F42" s="57">
        <f>E42*F39</f>
        <v>3.7267536000000008</v>
      </c>
      <c r="G42" s="122"/>
      <c r="H42" s="122"/>
      <c r="I42" s="122"/>
      <c r="J42" s="122"/>
      <c r="K42" s="122"/>
      <c r="L42" s="122"/>
      <c r="M42" s="122"/>
      <c r="N42" s="23"/>
      <c r="O42" s="23"/>
    </row>
    <row r="43" spans="1:15" s="48" customFormat="1">
      <c r="A43" s="44"/>
      <c r="B43" s="132"/>
      <c r="C43" s="108" t="s">
        <v>181</v>
      </c>
      <c r="D43" s="236"/>
      <c r="E43" s="115"/>
      <c r="F43" s="115"/>
      <c r="G43" s="237"/>
      <c r="H43" s="152"/>
      <c r="I43" s="152"/>
      <c r="J43" s="152"/>
      <c r="K43" s="152"/>
      <c r="L43" s="152"/>
      <c r="M43" s="152"/>
      <c r="N43" s="23"/>
      <c r="O43" s="23"/>
    </row>
    <row r="44" spans="1:15" s="48" customFormat="1">
      <c r="A44" s="44"/>
      <c r="B44" s="132"/>
      <c r="C44" s="108" t="s">
        <v>108</v>
      </c>
      <c r="D44" s="60"/>
      <c r="E44" s="57"/>
      <c r="F44" s="57"/>
      <c r="G44" s="122"/>
      <c r="H44" s="122"/>
      <c r="I44" s="122"/>
      <c r="J44" s="122"/>
      <c r="K44" s="122"/>
      <c r="L44" s="122"/>
      <c r="M44" s="122"/>
      <c r="N44" s="23"/>
      <c r="O44" s="23"/>
    </row>
    <row r="45" spans="1:15" s="48" customFormat="1" ht="28">
      <c r="A45" s="49">
        <v>5</v>
      </c>
      <c r="B45" s="134"/>
      <c r="C45" s="51" t="s">
        <v>171</v>
      </c>
      <c r="D45" s="63" t="s">
        <v>22</v>
      </c>
      <c r="E45" s="23"/>
      <c r="F45" s="228">
        <f>'მოცულ. რ.ბ'!AE15</f>
        <v>69.51400000000001</v>
      </c>
      <c r="G45" s="149"/>
      <c r="H45" s="149"/>
      <c r="I45" s="149"/>
      <c r="J45" s="149"/>
      <c r="K45" s="149"/>
      <c r="L45" s="149"/>
      <c r="M45" s="149"/>
      <c r="N45" s="23">
        <f>O45/F45</f>
        <v>0</v>
      </c>
      <c r="O45" s="23">
        <f>SUM(M47:M50)</f>
        <v>0</v>
      </c>
    </row>
    <row r="46" spans="1:15" s="48" customFormat="1">
      <c r="A46" s="44"/>
      <c r="B46" s="135" t="s">
        <v>120</v>
      </c>
      <c r="C46" s="146"/>
      <c r="D46" s="147" t="s">
        <v>55</v>
      </c>
      <c r="E46" s="148"/>
      <c r="F46" s="148">
        <f>F45</f>
        <v>69.51400000000001</v>
      </c>
      <c r="G46" s="151"/>
      <c r="H46" s="151"/>
      <c r="I46" s="151"/>
      <c r="J46" s="151"/>
      <c r="K46" s="151"/>
      <c r="L46" s="151"/>
      <c r="M46" s="151"/>
      <c r="N46" s="23"/>
      <c r="O46" s="23"/>
    </row>
    <row r="47" spans="1:15" s="48" customFormat="1">
      <c r="A47" s="44"/>
      <c r="B47" s="135"/>
      <c r="C47" s="146" t="s">
        <v>56</v>
      </c>
      <c r="D47" s="147" t="s">
        <v>50</v>
      </c>
      <c r="E47" s="148">
        <v>0.89</v>
      </c>
      <c r="F47" s="148">
        <f>E47*F46</f>
        <v>61.867460000000008</v>
      </c>
      <c r="G47" s="151"/>
      <c r="H47" s="151"/>
      <c r="I47" s="151"/>
      <c r="J47" s="151"/>
      <c r="K47" s="151"/>
      <c r="L47" s="151"/>
      <c r="M47" s="151"/>
      <c r="N47" s="23"/>
      <c r="O47" s="23"/>
    </row>
    <row r="48" spans="1:15" s="48" customFormat="1">
      <c r="A48" s="44"/>
      <c r="B48" s="132"/>
      <c r="C48" s="56" t="s">
        <v>72</v>
      </c>
      <c r="D48" s="60" t="s">
        <v>73</v>
      </c>
      <c r="E48" s="148">
        <v>0.37</v>
      </c>
      <c r="F48" s="148">
        <f>E48*F46</f>
        <v>25.720180000000003</v>
      </c>
      <c r="G48" s="151"/>
      <c r="H48" s="151"/>
      <c r="I48" s="151"/>
      <c r="J48" s="151"/>
      <c r="K48" s="122"/>
      <c r="L48" s="151"/>
      <c r="M48" s="151"/>
      <c r="N48" s="23"/>
      <c r="O48" s="23"/>
    </row>
    <row r="49" spans="1:15" s="48" customFormat="1">
      <c r="A49" s="44"/>
      <c r="B49" s="135" t="s">
        <v>208</v>
      </c>
      <c r="C49" s="146" t="s">
        <v>117</v>
      </c>
      <c r="D49" s="147" t="s">
        <v>22</v>
      </c>
      <c r="E49" s="148">
        <v>1.1499999999999999</v>
      </c>
      <c r="F49" s="148">
        <f>E49*F46</f>
        <v>79.941100000000006</v>
      </c>
      <c r="G49" s="151"/>
      <c r="H49" s="151"/>
      <c r="I49" s="151"/>
      <c r="J49" s="151"/>
      <c r="K49" s="151"/>
      <c r="L49" s="151"/>
      <c r="M49" s="151"/>
      <c r="N49" s="23"/>
      <c r="O49" s="23"/>
    </row>
    <row r="50" spans="1:15" s="48" customFormat="1">
      <c r="A50" s="44"/>
      <c r="B50" s="135"/>
      <c r="C50" s="146" t="s">
        <v>74</v>
      </c>
      <c r="D50" s="147" t="s">
        <v>73</v>
      </c>
      <c r="E50" s="148">
        <v>0.02</v>
      </c>
      <c r="F50" s="148">
        <f>E50*F46</f>
        <v>1.3902800000000002</v>
      </c>
      <c r="G50" s="151"/>
      <c r="H50" s="151"/>
      <c r="I50" s="151"/>
      <c r="J50" s="151"/>
      <c r="K50" s="151"/>
      <c r="L50" s="151"/>
      <c r="M50" s="151"/>
      <c r="N50" s="23"/>
      <c r="O50" s="23"/>
    </row>
    <row r="51" spans="1:15" s="53" customFormat="1" ht="28">
      <c r="A51" s="49">
        <v>6</v>
      </c>
      <c r="B51" s="134" t="s">
        <v>57</v>
      </c>
      <c r="C51" s="51" t="s">
        <v>169</v>
      </c>
      <c r="D51" s="63" t="s">
        <v>22</v>
      </c>
      <c r="E51" s="23"/>
      <c r="F51" s="227">
        <f>'მოცულ. რ.ბ'!AD13</f>
        <v>30.301000000000002</v>
      </c>
      <c r="G51" s="149"/>
      <c r="H51" s="149"/>
      <c r="I51" s="149"/>
      <c r="J51" s="149"/>
      <c r="K51" s="149"/>
      <c r="L51" s="149"/>
      <c r="M51" s="149"/>
      <c r="N51" s="23">
        <f>O51/F51</f>
        <v>0</v>
      </c>
      <c r="O51" s="23">
        <f>SUM(M53:M56)</f>
        <v>0</v>
      </c>
    </row>
    <row r="52" spans="1:15" s="48" customFormat="1">
      <c r="A52" s="44"/>
      <c r="B52" s="132"/>
      <c r="C52" s="56"/>
      <c r="D52" s="60" t="s">
        <v>54</v>
      </c>
      <c r="E52" s="57"/>
      <c r="F52" s="55">
        <f>F51/100</f>
        <v>0.30301</v>
      </c>
      <c r="G52" s="122"/>
      <c r="H52" s="122"/>
      <c r="I52" s="122"/>
      <c r="J52" s="122"/>
      <c r="K52" s="122"/>
      <c r="L52" s="122"/>
      <c r="M52" s="122"/>
      <c r="N52" s="23"/>
      <c r="O52" s="23"/>
    </row>
    <row r="53" spans="1:15" s="48" customFormat="1">
      <c r="A53" s="44"/>
      <c r="B53" s="135"/>
      <c r="C53" s="146" t="s">
        <v>56</v>
      </c>
      <c r="D53" s="147" t="s">
        <v>50</v>
      </c>
      <c r="E53" s="148">
        <v>137</v>
      </c>
      <c r="F53" s="148">
        <f>E53*F52</f>
        <v>41.512369999999997</v>
      </c>
      <c r="G53" s="151"/>
      <c r="H53" s="151"/>
      <c r="I53" s="151"/>
      <c r="J53" s="151"/>
      <c r="K53" s="151"/>
      <c r="L53" s="151"/>
      <c r="M53" s="151"/>
      <c r="N53" s="23"/>
      <c r="O53" s="23"/>
    </row>
    <row r="54" spans="1:15" s="48" customFormat="1">
      <c r="A54" s="44"/>
      <c r="B54" s="132"/>
      <c r="C54" s="56" t="s">
        <v>72</v>
      </c>
      <c r="D54" s="60" t="s">
        <v>73</v>
      </c>
      <c r="E54" s="148">
        <v>28.3</v>
      </c>
      <c r="F54" s="148">
        <f>E54*F52</f>
        <v>8.5751830000000009</v>
      </c>
      <c r="G54" s="151"/>
      <c r="H54" s="151"/>
      <c r="I54" s="151"/>
      <c r="J54" s="151"/>
      <c r="K54" s="122"/>
      <c r="L54" s="151"/>
      <c r="M54" s="151"/>
      <c r="N54" s="23"/>
      <c r="O54" s="23"/>
    </row>
    <row r="55" spans="1:15" s="48" customFormat="1">
      <c r="A55" s="44"/>
      <c r="B55" s="135" t="s">
        <v>206</v>
      </c>
      <c r="C55" s="146" t="s">
        <v>118</v>
      </c>
      <c r="D55" s="147" t="s">
        <v>22</v>
      </c>
      <c r="E55" s="148">
        <v>102</v>
      </c>
      <c r="F55" s="148">
        <f>E55*F52</f>
        <v>30.907019999999999</v>
      </c>
      <c r="G55" s="151"/>
      <c r="H55" s="151"/>
      <c r="I55" s="151"/>
      <c r="J55" s="151"/>
      <c r="K55" s="151"/>
      <c r="L55" s="151"/>
      <c r="M55" s="151"/>
      <c r="N55" s="23"/>
      <c r="O55" s="23"/>
    </row>
    <row r="56" spans="1:15" s="48" customFormat="1">
      <c r="A56" s="44"/>
      <c r="B56" s="135"/>
      <c r="C56" s="146" t="s">
        <v>74</v>
      </c>
      <c r="D56" s="147" t="s">
        <v>73</v>
      </c>
      <c r="E56" s="148">
        <v>62</v>
      </c>
      <c r="F56" s="148">
        <f>E56*F52</f>
        <v>18.786619999999999</v>
      </c>
      <c r="G56" s="151"/>
      <c r="H56" s="151"/>
      <c r="I56" s="151"/>
      <c r="J56" s="151"/>
      <c r="K56" s="151"/>
      <c r="L56" s="151"/>
      <c r="M56" s="151"/>
      <c r="N56" s="23"/>
      <c r="O56" s="23"/>
    </row>
    <row r="57" spans="1:15" s="53" customFormat="1" ht="28">
      <c r="A57" s="49">
        <v>7</v>
      </c>
      <c r="B57" s="134" t="s">
        <v>57</v>
      </c>
      <c r="C57" s="51" t="s">
        <v>170</v>
      </c>
      <c r="D57" s="63" t="s">
        <v>22</v>
      </c>
      <c r="E57" s="23"/>
      <c r="F57" s="227">
        <f>'მოცულ. რ.ბ'!AD10</f>
        <v>3.8990000000000005</v>
      </c>
      <c r="G57" s="149"/>
      <c r="H57" s="149"/>
      <c r="I57" s="149"/>
      <c r="J57" s="149"/>
      <c r="K57" s="149"/>
      <c r="L57" s="149"/>
      <c r="M57" s="149"/>
      <c r="N57" s="23">
        <f>O57/F57</f>
        <v>0</v>
      </c>
      <c r="O57" s="23">
        <f>SUM(M59:M62)</f>
        <v>0</v>
      </c>
    </row>
    <row r="58" spans="1:15" s="48" customFormat="1">
      <c r="A58" s="44"/>
      <c r="B58" s="132"/>
      <c r="C58" s="56"/>
      <c r="D58" s="60" t="s">
        <v>54</v>
      </c>
      <c r="E58" s="57"/>
      <c r="F58" s="55">
        <f>F57/100</f>
        <v>3.8990000000000004E-2</v>
      </c>
      <c r="G58" s="122"/>
      <c r="H58" s="122"/>
      <c r="I58" s="122"/>
      <c r="J58" s="122"/>
      <c r="K58" s="122"/>
      <c r="L58" s="122"/>
      <c r="M58" s="122"/>
      <c r="N58" s="23"/>
      <c r="O58" s="23"/>
    </row>
    <row r="59" spans="1:15" s="48" customFormat="1">
      <c r="A59" s="44"/>
      <c r="B59" s="135"/>
      <c r="C59" s="146" t="s">
        <v>56</v>
      </c>
      <c r="D59" s="147" t="s">
        <v>50</v>
      </c>
      <c r="E59" s="148">
        <v>137</v>
      </c>
      <c r="F59" s="148">
        <f>E59*F58</f>
        <v>5.3416300000000003</v>
      </c>
      <c r="G59" s="151"/>
      <c r="H59" s="151"/>
      <c r="I59" s="151"/>
      <c r="J59" s="151"/>
      <c r="K59" s="151"/>
      <c r="L59" s="151"/>
      <c r="M59" s="151"/>
      <c r="N59" s="23"/>
      <c r="O59" s="23"/>
    </row>
    <row r="60" spans="1:15" s="48" customFormat="1">
      <c r="A60" s="44"/>
      <c r="B60" s="132"/>
      <c r="C60" s="56" t="s">
        <v>72</v>
      </c>
      <c r="D60" s="60" t="s">
        <v>73</v>
      </c>
      <c r="E60" s="148">
        <v>28.3</v>
      </c>
      <c r="F60" s="148">
        <f>E60*F58</f>
        <v>1.1034170000000001</v>
      </c>
      <c r="G60" s="151"/>
      <c r="H60" s="151"/>
      <c r="I60" s="151"/>
      <c r="J60" s="151"/>
      <c r="K60" s="122"/>
      <c r="L60" s="151"/>
      <c r="M60" s="151"/>
      <c r="N60" s="23"/>
      <c r="O60" s="23"/>
    </row>
    <row r="61" spans="1:15" s="48" customFormat="1">
      <c r="A61" s="44"/>
      <c r="B61" s="135" t="s">
        <v>206</v>
      </c>
      <c r="C61" s="146" t="s">
        <v>118</v>
      </c>
      <c r="D61" s="147" t="s">
        <v>22</v>
      </c>
      <c r="E61" s="148">
        <v>102</v>
      </c>
      <c r="F61" s="148">
        <f>E61*F58</f>
        <v>3.9769800000000002</v>
      </c>
      <c r="G61" s="151"/>
      <c r="H61" s="151"/>
      <c r="I61" s="151"/>
      <c r="J61" s="151"/>
      <c r="K61" s="151"/>
      <c r="L61" s="151"/>
      <c r="M61" s="151"/>
      <c r="N61" s="23"/>
      <c r="O61" s="23"/>
    </row>
    <row r="62" spans="1:15" s="48" customFormat="1">
      <c r="A62" s="44"/>
      <c r="B62" s="135"/>
      <c r="C62" s="146" t="s">
        <v>74</v>
      </c>
      <c r="D62" s="147" t="s">
        <v>73</v>
      </c>
      <c r="E62" s="148">
        <v>62</v>
      </c>
      <c r="F62" s="148">
        <f>E62*F58</f>
        <v>2.4173800000000001</v>
      </c>
      <c r="G62" s="151"/>
      <c r="H62" s="151"/>
      <c r="I62" s="151"/>
      <c r="J62" s="151"/>
      <c r="K62" s="151"/>
      <c r="L62" s="151"/>
      <c r="M62" s="151"/>
      <c r="N62" s="23"/>
      <c r="O62" s="23"/>
    </row>
    <row r="63" spans="1:15" s="104" customFormat="1">
      <c r="A63" s="102">
        <v>8</v>
      </c>
      <c r="B63" s="137" t="s">
        <v>58</v>
      </c>
      <c r="C63" s="103" t="s">
        <v>103</v>
      </c>
      <c r="D63" s="102" t="s">
        <v>104</v>
      </c>
      <c r="E63" s="179"/>
      <c r="F63" s="231">
        <f>'მოცულ. რ.ბ'!AA10+'მოცულ. რ.ბ'!AA11</f>
        <v>23.804000000000002</v>
      </c>
      <c r="G63" s="180"/>
      <c r="H63" s="180"/>
      <c r="I63" s="180"/>
      <c r="J63" s="180"/>
      <c r="K63" s="180"/>
      <c r="L63" s="180"/>
      <c r="M63" s="180"/>
      <c r="N63" s="23">
        <f>O63/F63</f>
        <v>0</v>
      </c>
      <c r="O63" s="23">
        <f>SUM(M64:M72)</f>
        <v>0</v>
      </c>
    </row>
    <row r="64" spans="1:15" s="104" customFormat="1">
      <c r="A64" s="102"/>
      <c r="B64" s="136" t="s">
        <v>59</v>
      </c>
      <c r="C64" s="105" t="s">
        <v>61</v>
      </c>
      <c r="D64" s="102" t="s">
        <v>22</v>
      </c>
      <c r="E64" s="179">
        <v>1</v>
      </c>
      <c r="F64" s="179">
        <f>F63*E64</f>
        <v>23.804000000000002</v>
      </c>
      <c r="G64" s="181"/>
      <c r="H64" s="181"/>
      <c r="I64" s="122"/>
      <c r="J64" s="170"/>
      <c r="K64" s="180"/>
      <c r="L64" s="180"/>
      <c r="M64" s="170"/>
    </row>
    <row r="65" spans="1:15" s="104" customFormat="1">
      <c r="A65" s="102"/>
      <c r="B65" s="132"/>
      <c r="C65" s="56" t="s">
        <v>72</v>
      </c>
      <c r="D65" s="60" t="s">
        <v>73</v>
      </c>
      <c r="E65" s="179">
        <v>0.92</v>
      </c>
      <c r="F65" s="179">
        <f>F63*E65</f>
        <v>21.899680000000004</v>
      </c>
      <c r="G65" s="180"/>
      <c r="H65" s="180"/>
      <c r="I65" s="180"/>
      <c r="J65" s="182"/>
      <c r="K65" s="122"/>
      <c r="L65" s="170"/>
      <c r="M65" s="170"/>
    </row>
    <row r="66" spans="1:15" s="104" customFormat="1">
      <c r="A66" s="102"/>
      <c r="B66" s="131" t="s">
        <v>204</v>
      </c>
      <c r="C66" s="59" t="s">
        <v>177</v>
      </c>
      <c r="D66" s="58" t="s">
        <v>22</v>
      </c>
      <c r="E66" s="179">
        <v>1.0149999999999999</v>
      </c>
      <c r="F66" s="230">
        <f>F63*E66</f>
        <v>24.161059999999999</v>
      </c>
      <c r="G66" s="122"/>
      <c r="H66" s="170"/>
      <c r="I66" s="181"/>
      <c r="J66" s="181"/>
      <c r="K66" s="182"/>
      <c r="L66" s="182"/>
      <c r="M66" s="183"/>
    </row>
    <row r="67" spans="1:15" s="20" customFormat="1">
      <c r="A67" s="69"/>
      <c r="B67" s="137"/>
      <c r="C67" s="59" t="s">
        <v>210</v>
      </c>
      <c r="D67" s="58" t="s">
        <v>22</v>
      </c>
      <c r="E67" s="57">
        <v>1</v>
      </c>
      <c r="F67" s="70">
        <f>E67*F66</f>
        <v>24.161059999999999</v>
      </c>
      <c r="G67" s="122"/>
      <c r="H67" s="122"/>
      <c r="I67" s="122"/>
      <c r="J67" s="122"/>
      <c r="K67" s="122"/>
      <c r="L67" s="122"/>
      <c r="M67" s="122"/>
      <c r="N67" s="23"/>
      <c r="O67" s="23"/>
    </row>
    <row r="68" spans="1:15" s="104" customFormat="1">
      <c r="A68" s="102"/>
      <c r="B68" s="131" t="s">
        <v>207</v>
      </c>
      <c r="C68" s="59" t="s">
        <v>98</v>
      </c>
      <c r="D68" s="58" t="s">
        <v>23</v>
      </c>
      <c r="E68" s="179">
        <v>0.70299999999999996</v>
      </c>
      <c r="F68" s="179">
        <f>F63*E68</f>
        <v>16.734211999999999</v>
      </c>
      <c r="G68" s="122"/>
      <c r="H68" s="170"/>
      <c r="I68" s="181"/>
      <c r="J68" s="181"/>
      <c r="K68" s="182"/>
      <c r="L68" s="182"/>
      <c r="M68" s="170"/>
    </row>
    <row r="69" spans="1:15" s="104" customFormat="1">
      <c r="A69" s="102"/>
      <c r="B69" s="131" t="s">
        <v>209</v>
      </c>
      <c r="C69" s="59" t="s">
        <v>97</v>
      </c>
      <c r="D69" s="58" t="s">
        <v>22</v>
      </c>
      <c r="E69" s="184">
        <v>1.14E-2</v>
      </c>
      <c r="F69" s="179">
        <f>F63*E69</f>
        <v>0.27136560000000004</v>
      </c>
      <c r="G69" s="122"/>
      <c r="H69" s="170"/>
      <c r="I69" s="181"/>
      <c r="J69" s="181"/>
      <c r="K69" s="182"/>
      <c r="L69" s="182"/>
      <c r="M69" s="170"/>
    </row>
    <row r="70" spans="1:15" s="104" customFormat="1">
      <c r="A70" s="102"/>
      <c r="B70" s="137" t="s">
        <v>202</v>
      </c>
      <c r="C70" s="59" t="s">
        <v>172</v>
      </c>
      <c r="D70" s="102" t="s">
        <v>105</v>
      </c>
      <c r="E70" s="179">
        <v>1.03</v>
      </c>
      <c r="F70" s="235">
        <f>('მოცულ. რ.ბ'!Y10+'მოცულ. რ.ბ'!Y11)/1000*E70</f>
        <v>0.33321446312500008</v>
      </c>
      <c r="G70" s="122"/>
      <c r="H70" s="170"/>
      <c r="I70" s="181"/>
      <c r="J70" s="181"/>
      <c r="K70" s="185"/>
      <c r="L70" s="185"/>
      <c r="M70" s="170"/>
    </row>
    <row r="71" spans="1:15" s="104" customFormat="1">
      <c r="A71" s="102"/>
      <c r="B71" s="137" t="s">
        <v>202</v>
      </c>
      <c r="C71" s="59" t="s">
        <v>173</v>
      </c>
      <c r="D71" s="58" t="s">
        <v>51</v>
      </c>
      <c r="E71" s="179">
        <v>1.03</v>
      </c>
      <c r="F71" s="235">
        <f>('მოცულ. რ.ბ'!W10+'მოცულ. რ.ბ'!W11)/1000*E71</f>
        <v>1.4664900525</v>
      </c>
      <c r="G71" s="122"/>
      <c r="H71" s="170"/>
      <c r="I71" s="181"/>
      <c r="J71" s="181"/>
      <c r="K71" s="185"/>
      <c r="L71" s="185"/>
      <c r="M71" s="170"/>
    </row>
    <row r="72" spans="1:15" s="104" customFormat="1">
      <c r="A72" s="102"/>
      <c r="B72" s="137"/>
      <c r="C72" s="146" t="s">
        <v>74</v>
      </c>
      <c r="D72" s="147" t="s">
        <v>73</v>
      </c>
      <c r="E72" s="179">
        <v>0.6</v>
      </c>
      <c r="F72" s="179">
        <f>F63*E72</f>
        <v>14.282400000000001</v>
      </c>
      <c r="G72" s="151"/>
      <c r="H72" s="170"/>
      <c r="I72" s="181"/>
      <c r="J72" s="181"/>
      <c r="K72" s="182"/>
      <c r="L72" s="182"/>
      <c r="M72" s="170"/>
    </row>
    <row r="73" spans="1:15" ht="56">
      <c r="A73" s="71">
        <v>9</v>
      </c>
      <c r="B73" s="72" t="s">
        <v>333</v>
      </c>
      <c r="C73" s="73" t="s">
        <v>334</v>
      </c>
      <c r="D73" s="345" t="s">
        <v>23</v>
      </c>
      <c r="E73" s="168"/>
      <c r="F73" s="232">
        <f>50+35+37</f>
        <v>122</v>
      </c>
      <c r="G73" s="186"/>
      <c r="H73" s="186"/>
      <c r="I73" s="186"/>
      <c r="J73" s="186"/>
      <c r="K73" s="186"/>
      <c r="L73" s="186"/>
      <c r="M73" s="186"/>
      <c r="N73" s="42">
        <f>O73/F73</f>
        <v>0</v>
      </c>
      <c r="O73" s="42">
        <f>SUM(M74:M91)</f>
        <v>0</v>
      </c>
    </row>
    <row r="74" spans="1:15">
      <c r="A74" s="346"/>
      <c r="B74" s="312"/>
      <c r="C74" s="347"/>
      <c r="D74" s="309" t="s">
        <v>60</v>
      </c>
      <c r="E74" s="310"/>
      <c r="F74" s="348">
        <f>F73/100</f>
        <v>1.22</v>
      </c>
      <c r="G74" s="310"/>
      <c r="H74" s="310"/>
      <c r="I74" s="310"/>
      <c r="J74" s="310"/>
      <c r="K74" s="310"/>
      <c r="L74" s="310"/>
      <c r="M74" s="310"/>
    </row>
    <row r="75" spans="1:15">
      <c r="A75" s="346"/>
      <c r="B75" s="312"/>
      <c r="C75" s="308" t="s">
        <v>296</v>
      </c>
      <c r="D75" s="309" t="s">
        <v>50</v>
      </c>
      <c r="E75" s="310">
        <v>173</v>
      </c>
      <c r="F75" s="310">
        <f>E75*F74</f>
        <v>211.06</v>
      </c>
      <c r="G75" s="310"/>
      <c r="H75" s="310"/>
      <c r="I75" s="310"/>
      <c r="J75" s="310"/>
      <c r="K75" s="310"/>
      <c r="L75" s="310"/>
      <c r="M75" s="310"/>
    </row>
    <row r="76" spans="1:15">
      <c r="A76" s="346"/>
      <c r="B76" s="312">
        <v>330206</v>
      </c>
      <c r="C76" s="308" t="s">
        <v>335</v>
      </c>
      <c r="D76" s="309" t="s">
        <v>62</v>
      </c>
      <c r="E76" s="310">
        <v>5.4</v>
      </c>
      <c r="F76" s="310">
        <f>E76*F74</f>
        <v>6.5880000000000001</v>
      </c>
      <c r="G76" s="310"/>
      <c r="H76" s="310"/>
      <c r="I76" s="310"/>
      <c r="J76" s="310"/>
      <c r="K76" s="310"/>
      <c r="L76" s="310"/>
      <c r="M76" s="310"/>
    </row>
    <row r="77" spans="1:15">
      <c r="A77" s="346"/>
      <c r="B77" s="312" t="s">
        <v>313</v>
      </c>
      <c r="C77" s="308" t="s">
        <v>336</v>
      </c>
      <c r="D77" s="309" t="s">
        <v>62</v>
      </c>
      <c r="E77" s="310">
        <v>6.2</v>
      </c>
      <c r="F77" s="310">
        <f>E77*F74</f>
        <v>7.5640000000000001</v>
      </c>
      <c r="G77" s="310"/>
      <c r="H77" s="310"/>
      <c r="I77" s="310"/>
      <c r="J77" s="310"/>
      <c r="K77" s="310"/>
      <c r="L77" s="310"/>
      <c r="M77" s="310"/>
    </row>
    <row r="78" spans="1:15">
      <c r="A78" s="346"/>
      <c r="B78" s="312">
        <v>333402</v>
      </c>
      <c r="C78" s="308" t="s">
        <v>337</v>
      </c>
      <c r="D78" s="309" t="s">
        <v>62</v>
      </c>
      <c r="E78" s="310">
        <v>13</v>
      </c>
      <c r="F78" s="310">
        <f>E78*F74</f>
        <v>15.86</v>
      </c>
      <c r="G78" s="310"/>
      <c r="H78" s="310"/>
      <c r="I78" s="310"/>
      <c r="J78" s="310"/>
      <c r="K78" s="310"/>
      <c r="L78" s="310"/>
      <c r="M78" s="310"/>
    </row>
    <row r="79" spans="1:15">
      <c r="A79" s="346"/>
      <c r="B79" s="312" t="s">
        <v>338</v>
      </c>
      <c r="C79" s="308" t="s">
        <v>339</v>
      </c>
      <c r="D79" s="309" t="s">
        <v>21</v>
      </c>
      <c r="E79" s="310">
        <v>65</v>
      </c>
      <c r="F79" s="310">
        <f>ROUND(E79*F74,0)</f>
        <v>79</v>
      </c>
      <c r="G79" s="310"/>
      <c r="H79" s="310"/>
      <c r="I79" s="310"/>
      <c r="J79" s="310"/>
      <c r="K79" s="310"/>
      <c r="L79" s="310"/>
      <c r="M79" s="310"/>
    </row>
    <row r="80" spans="1:15">
      <c r="A80" s="346"/>
      <c r="B80" s="312" t="s">
        <v>340</v>
      </c>
      <c r="C80" s="308" t="s">
        <v>341</v>
      </c>
      <c r="D80" s="309" t="s">
        <v>63</v>
      </c>
      <c r="E80" s="310">
        <v>7.03</v>
      </c>
      <c r="F80" s="310">
        <f>E80*F74</f>
        <v>8.5766000000000009</v>
      </c>
      <c r="G80" s="310"/>
      <c r="H80" s="310"/>
      <c r="I80" s="310"/>
      <c r="J80" s="310"/>
      <c r="K80" s="310"/>
      <c r="L80" s="310"/>
      <c r="M80" s="310"/>
    </row>
    <row r="81" spans="1:15">
      <c r="A81" s="346"/>
      <c r="B81" s="312" t="s">
        <v>344</v>
      </c>
      <c r="C81" s="308" t="s">
        <v>345</v>
      </c>
      <c r="D81" s="309" t="s">
        <v>22</v>
      </c>
      <c r="E81" s="310">
        <v>3</v>
      </c>
      <c r="F81" s="310">
        <f>E81*F74</f>
        <v>3.66</v>
      </c>
      <c r="G81" s="310"/>
      <c r="H81" s="310"/>
      <c r="I81" s="310"/>
      <c r="J81" s="310"/>
      <c r="K81" s="310"/>
      <c r="L81" s="310"/>
      <c r="M81" s="310"/>
    </row>
    <row r="82" spans="1:15">
      <c r="A82" s="346"/>
      <c r="B82" s="312" t="s">
        <v>314</v>
      </c>
      <c r="C82" s="308" t="s">
        <v>346</v>
      </c>
      <c r="D82" s="309" t="s">
        <v>23</v>
      </c>
      <c r="E82" s="310">
        <v>228</v>
      </c>
      <c r="F82" s="310">
        <f>E82*F74</f>
        <v>278.15999999999997</v>
      </c>
      <c r="G82" s="310"/>
      <c r="H82" s="310"/>
      <c r="I82" s="310"/>
      <c r="J82" s="310"/>
      <c r="K82" s="310"/>
      <c r="L82" s="310"/>
      <c r="M82" s="310"/>
    </row>
    <row r="83" spans="1:15">
      <c r="A83" s="346"/>
      <c r="B83" s="312" t="s">
        <v>347</v>
      </c>
      <c r="C83" s="308" t="s">
        <v>348</v>
      </c>
      <c r="D83" s="309" t="s">
        <v>23</v>
      </c>
      <c r="E83" s="310">
        <v>115</v>
      </c>
      <c r="F83" s="310">
        <f>E83*F74</f>
        <v>140.29999999999998</v>
      </c>
      <c r="G83" s="310"/>
      <c r="H83" s="310"/>
      <c r="I83" s="310"/>
      <c r="J83" s="310"/>
      <c r="K83" s="310"/>
      <c r="L83" s="310"/>
      <c r="M83" s="310"/>
    </row>
    <row r="84" spans="1:15">
      <c r="A84" s="346"/>
      <c r="B84" s="312" t="s">
        <v>349</v>
      </c>
      <c r="C84" s="308" t="s">
        <v>350</v>
      </c>
      <c r="D84" s="309" t="s">
        <v>21</v>
      </c>
      <c r="E84" s="310">
        <v>400</v>
      </c>
      <c r="F84" s="310">
        <f>E84*F74</f>
        <v>488</v>
      </c>
      <c r="G84" s="310"/>
      <c r="H84" s="310"/>
      <c r="I84" s="310"/>
      <c r="J84" s="310"/>
      <c r="K84" s="310"/>
      <c r="L84" s="310"/>
      <c r="M84" s="310"/>
    </row>
    <row r="85" spans="1:15" ht="14">
      <c r="A85" s="346"/>
      <c r="B85" s="307" t="s">
        <v>315</v>
      </c>
      <c r="C85" s="308" t="s">
        <v>351</v>
      </c>
      <c r="D85" s="309" t="s">
        <v>63</v>
      </c>
      <c r="E85" s="310">
        <v>80</v>
      </c>
      <c r="F85" s="310">
        <f>E85*F74</f>
        <v>97.6</v>
      </c>
      <c r="G85" s="311"/>
      <c r="H85" s="310"/>
      <c r="I85" s="310"/>
      <c r="J85" s="310"/>
      <c r="K85" s="310"/>
      <c r="L85" s="310"/>
      <c r="M85" s="310"/>
    </row>
    <row r="86" spans="1:15">
      <c r="A86" s="346"/>
      <c r="B86" s="312"/>
      <c r="C86" s="347" t="s">
        <v>352</v>
      </c>
      <c r="D86" s="309" t="s">
        <v>63</v>
      </c>
      <c r="E86" s="310">
        <v>0.2</v>
      </c>
      <c r="F86" s="310">
        <f>E86*F74</f>
        <v>0.24399999999999999</v>
      </c>
      <c r="G86" s="310"/>
      <c r="H86" s="310"/>
      <c r="I86" s="310"/>
      <c r="J86" s="310"/>
      <c r="K86" s="310"/>
      <c r="L86" s="310"/>
      <c r="M86" s="310"/>
    </row>
    <row r="87" spans="1:15">
      <c r="A87" s="346"/>
      <c r="B87" s="312" t="s">
        <v>353</v>
      </c>
      <c r="C87" s="308" t="s">
        <v>354</v>
      </c>
      <c r="D87" s="309" t="s">
        <v>20</v>
      </c>
      <c r="E87" s="310">
        <v>120</v>
      </c>
      <c r="F87" s="310">
        <f>F74*E87</f>
        <v>146.4</v>
      </c>
      <c r="G87" s="310"/>
      <c r="H87" s="310"/>
      <c r="I87" s="310"/>
      <c r="J87" s="310"/>
      <c r="K87" s="310"/>
      <c r="L87" s="310"/>
      <c r="M87" s="310"/>
    </row>
    <row r="88" spans="1:15">
      <c r="A88" s="346"/>
      <c r="B88" s="312" t="s">
        <v>355</v>
      </c>
      <c r="C88" s="308" t="s">
        <v>356</v>
      </c>
      <c r="D88" s="309" t="s">
        <v>20</v>
      </c>
      <c r="E88" s="310">
        <v>32</v>
      </c>
      <c r="F88" s="310">
        <f>F74*E88</f>
        <v>39.04</v>
      </c>
      <c r="G88" s="310"/>
      <c r="H88" s="310"/>
      <c r="I88" s="310"/>
      <c r="J88" s="310"/>
      <c r="K88" s="310"/>
      <c r="L88" s="310"/>
      <c r="M88" s="310"/>
    </row>
    <row r="89" spans="1:15">
      <c r="A89" s="346"/>
      <c r="B89" s="312" t="s">
        <v>59</v>
      </c>
      <c r="C89" s="308" t="s">
        <v>357</v>
      </c>
      <c r="D89" s="309" t="s">
        <v>22</v>
      </c>
      <c r="E89" s="310">
        <v>23.4</v>
      </c>
      <c r="F89" s="310">
        <f>F74*E89</f>
        <v>28.547999999999998</v>
      </c>
      <c r="G89" s="310"/>
      <c r="H89" s="310"/>
      <c r="I89" s="310"/>
      <c r="J89" s="310"/>
      <c r="K89" s="310"/>
      <c r="L89" s="310"/>
      <c r="M89" s="310"/>
    </row>
    <row r="90" spans="1:15">
      <c r="A90" s="346"/>
      <c r="B90" s="312" t="s">
        <v>59</v>
      </c>
      <c r="C90" s="308" t="s">
        <v>297</v>
      </c>
      <c r="D90" s="309" t="s">
        <v>63</v>
      </c>
      <c r="E90" s="310">
        <v>6.9</v>
      </c>
      <c r="F90" s="310">
        <f>F74*E90</f>
        <v>8.418000000000001</v>
      </c>
      <c r="G90" s="310"/>
      <c r="H90" s="310"/>
      <c r="I90" s="310"/>
      <c r="J90" s="310"/>
      <c r="K90" s="310"/>
      <c r="L90" s="310"/>
      <c r="M90" s="310"/>
    </row>
    <row r="91" spans="1:15">
      <c r="A91" s="346"/>
      <c r="B91" s="312" t="s">
        <v>342</v>
      </c>
      <c r="C91" s="308" t="s">
        <v>343</v>
      </c>
      <c r="D91" s="309" t="s">
        <v>22</v>
      </c>
      <c r="E91" s="348">
        <v>3.5999999999999997E-2</v>
      </c>
      <c r="F91" s="310">
        <f>E91*F74</f>
        <v>4.3919999999999994E-2</v>
      </c>
      <c r="G91" s="310"/>
      <c r="H91" s="310"/>
      <c r="I91" s="310"/>
      <c r="J91" s="310"/>
      <c r="K91" s="310"/>
      <c r="L91" s="310"/>
      <c r="M91" s="310"/>
    </row>
    <row r="92" spans="1:15" s="53" customFormat="1" ht="42">
      <c r="A92" s="49">
        <v>10</v>
      </c>
      <c r="B92" s="138"/>
      <c r="C92" s="67" t="s">
        <v>189</v>
      </c>
      <c r="D92" s="63" t="s">
        <v>23</v>
      </c>
      <c r="E92" s="23"/>
      <c r="F92" s="227">
        <f>'მოცულ. რ.ბ'!AA13</f>
        <v>132.494</v>
      </c>
      <c r="G92" s="149"/>
      <c r="H92" s="149"/>
      <c r="I92" s="149"/>
      <c r="J92" s="149"/>
      <c r="K92" s="149"/>
      <c r="L92" s="149"/>
      <c r="M92" s="149"/>
      <c r="N92" s="23">
        <f>O92/F92</f>
        <v>0</v>
      </c>
      <c r="O92" s="23">
        <f>SUM(M93:M102)</f>
        <v>0</v>
      </c>
    </row>
    <row r="93" spans="1:15" s="48" customFormat="1">
      <c r="A93" s="44"/>
      <c r="B93" s="132" t="s">
        <v>75</v>
      </c>
      <c r="C93" s="56" t="s">
        <v>76</v>
      </c>
      <c r="D93" s="60" t="s">
        <v>54</v>
      </c>
      <c r="E93" s="57"/>
      <c r="F93" s="65">
        <f>F92/100</f>
        <v>1.32494</v>
      </c>
      <c r="G93" s="122"/>
      <c r="H93" s="122"/>
      <c r="I93" s="122"/>
      <c r="J93" s="122"/>
      <c r="K93" s="122"/>
      <c r="L93" s="122"/>
      <c r="M93" s="122"/>
      <c r="N93" s="23"/>
      <c r="O93" s="23"/>
    </row>
    <row r="94" spans="1:15">
      <c r="A94" s="69"/>
      <c r="B94" s="136" t="s">
        <v>59</v>
      </c>
      <c r="C94" s="56" t="s">
        <v>49</v>
      </c>
      <c r="D94" s="22" t="s">
        <v>22</v>
      </c>
      <c r="E94" s="57">
        <v>100</v>
      </c>
      <c r="F94" s="57">
        <f>E94*F93</f>
        <v>132.494</v>
      </c>
      <c r="G94" s="122"/>
      <c r="H94" s="122"/>
      <c r="I94" s="122"/>
      <c r="J94" s="122"/>
      <c r="K94" s="122"/>
      <c r="L94" s="122"/>
      <c r="M94" s="122"/>
      <c r="N94" s="23"/>
      <c r="O94" s="23"/>
    </row>
    <row r="95" spans="1:15">
      <c r="A95" s="69"/>
      <c r="B95" s="132"/>
      <c r="C95" s="56" t="s">
        <v>72</v>
      </c>
      <c r="D95" s="60" t="s">
        <v>73</v>
      </c>
      <c r="E95" s="57">
        <v>77</v>
      </c>
      <c r="F95" s="57">
        <f>E95*F93</f>
        <v>102.02038</v>
      </c>
      <c r="G95" s="122"/>
      <c r="H95" s="122"/>
      <c r="I95" s="122"/>
      <c r="J95" s="122"/>
      <c r="K95" s="122"/>
      <c r="L95" s="122"/>
      <c r="M95" s="122"/>
      <c r="N95" s="23"/>
      <c r="O95" s="23"/>
    </row>
    <row r="96" spans="1:15">
      <c r="A96" s="69"/>
      <c r="B96" s="137" t="s">
        <v>202</v>
      </c>
      <c r="C96" s="59" t="s">
        <v>172</v>
      </c>
      <c r="D96" s="102" t="s">
        <v>105</v>
      </c>
      <c r="E96" s="57">
        <v>1.03</v>
      </c>
      <c r="F96" s="234">
        <f>('მოცულ. რ.ბ'!Y13)/1000*E96</f>
        <v>0.293705336875</v>
      </c>
      <c r="G96" s="122"/>
      <c r="H96" s="122"/>
      <c r="I96" s="122"/>
      <c r="J96" s="122"/>
      <c r="K96" s="122"/>
      <c r="L96" s="122"/>
      <c r="M96" s="122"/>
      <c r="N96" s="23"/>
      <c r="O96" s="23"/>
    </row>
    <row r="97" spans="1:15">
      <c r="A97" s="69"/>
      <c r="B97" s="137" t="s">
        <v>202</v>
      </c>
      <c r="C97" s="59" t="s">
        <v>173</v>
      </c>
      <c r="D97" s="58" t="s">
        <v>51</v>
      </c>
      <c r="E97" s="57">
        <v>1.03</v>
      </c>
      <c r="F97" s="234">
        <f>('მოცულ. რ.ბ'!W13+'მოცულ. რ.ბ'!W23+'მოცულ. რ.ბ'!W24+'მოცულ. რ.ბ'!W25+'მოცულ. რ.ბ'!W26+'მოცულ. რ.ბ'!W18)/1000*E97</f>
        <v>13.9664737475</v>
      </c>
      <c r="G97" s="122"/>
      <c r="H97" s="122"/>
      <c r="I97" s="122"/>
      <c r="J97" s="122"/>
      <c r="K97" s="122"/>
      <c r="L97" s="122"/>
      <c r="M97" s="122"/>
      <c r="N97" s="23"/>
      <c r="O97" s="23"/>
    </row>
    <row r="98" spans="1:15">
      <c r="A98" s="69"/>
      <c r="B98" s="131" t="s">
        <v>204</v>
      </c>
      <c r="C98" s="59" t="s">
        <v>177</v>
      </c>
      <c r="D98" s="58" t="s">
        <v>22</v>
      </c>
      <c r="E98" s="57">
        <v>101.5</v>
      </c>
      <c r="F98" s="241">
        <f>E98*F93</f>
        <v>134.48141000000001</v>
      </c>
      <c r="G98" s="122"/>
      <c r="H98" s="122"/>
      <c r="I98" s="122"/>
      <c r="J98" s="122"/>
      <c r="K98" s="122"/>
      <c r="L98" s="122"/>
      <c r="M98" s="122"/>
      <c r="N98" s="23"/>
      <c r="O98" s="23"/>
    </row>
    <row r="99" spans="1:15" s="20" customFormat="1">
      <c r="A99" s="69"/>
      <c r="B99" s="137"/>
      <c r="C99" s="59" t="s">
        <v>210</v>
      </c>
      <c r="D99" s="58" t="s">
        <v>22</v>
      </c>
      <c r="E99" s="57">
        <v>1</v>
      </c>
      <c r="F99" s="70">
        <f>E99*F98</f>
        <v>134.48141000000001</v>
      </c>
      <c r="G99" s="122"/>
      <c r="H99" s="122"/>
      <c r="I99" s="122"/>
      <c r="J99" s="122"/>
      <c r="K99" s="122"/>
      <c r="L99" s="122"/>
      <c r="M99" s="122"/>
      <c r="N99" s="23"/>
      <c r="O99" s="23"/>
    </row>
    <row r="100" spans="1:15">
      <c r="A100" s="69"/>
      <c r="B100" s="131" t="s">
        <v>209</v>
      </c>
      <c r="C100" s="59" t="s">
        <v>97</v>
      </c>
      <c r="D100" s="58" t="s">
        <v>22</v>
      </c>
      <c r="E100" s="57">
        <v>0.08</v>
      </c>
      <c r="F100" s="57">
        <f>E100*F93</f>
        <v>0.1059952</v>
      </c>
      <c r="G100" s="122"/>
      <c r="H100" s="122"/>
      <c r="I100" s="122"/>
      <c r="J100" s="122"/>
      <c r="K100" s="122"/>
      <c r="L100" s="122"/>
      <c r="M100" s="122"/>
      <c r="N100" s="23"/>
      <c r="O100" s="23"/>
    </row>
    <row r="101" spans="1:15">
      <c r="A101" s="69"/>
      <c r="B101" s="131" t="s">
        <v>207</v>
      </c>
      <c r="C101" s="59" t="s">
        <v>98</v>
      </c>
      <c r="D101" s="58" t="s">
        <v>23</v>
      </c>
      <c r="E101" s="57">
        <v>7.54</v>
      </c>
      <c r="F101" s="57">
        <f>E101*F93</f>
        <v>9.9900476000000005</v>
      </c>
      <c r="G101" s="122"/>
      <c r="H101" s="122"/>
      <c r="I101" s="122"/>
      <c r="J101" s="122"/>
      <c r="K101" s="122"/>
      <c r="L101" s="122"/>
      <c r="M101" s="122"/>
      <c r="N101" s="23"/>
      <c r="O101" s="23"/>
    </row>
    <row r="102" spans="1:15">
      <c r="A102" s="69"/>
      <c r="B102" s="131"/>
      <c r="C102" s="146" t="s">
        <v>74</v>
      </c>
      <c r="D102" s="147" t="s">
        <v>73</v>
      </c>
      <c r="E102" s="57">
        <v>7</v>
      </c>
      <c r="F102" s="57">
        <f>E102*F93</f>
        <v>9.2745800000000003</v>
      </c>
      <c r="G102" s="151"/>
      <c r="H102" s="122"/>
      <c r="I102" s="122"/>
      <c r="J102" s="122"/>
      <c r="K102" s="122"/>
      <c r="L102" s="122"/>
      <c r="M102" s="122"/>
      <c r="N102" s="23"/>
      <c r="O102" s="23"/>
    </row>
    <row r="103" spans="1:15" s="48" customFormat="1">
      <c r="A103" s="44"/>
      <c r="B103" s="132"/>
      <c r="C103" s="108" t="s">
        <v>182</v>
      </c>
      <c r="D103" s="236"/>
      <c r="E103" s="115"/>
      <c r="F103" s="115"/>
      <c r="G103" s="237"/>
      <c r="H103" s="152"/>
      <c r="I103" s="152"/>
      <c r="J103" s="152"/>
      <c r="K103" s="152"/>
      <c r="L103" s="152"/>
      <c r="M103" s="152"/>
      <c r="N103" s="23"/>
      <c r="O103" s="23"/>
    </row>
    <row r="104" spans="1:15" s="48" customFormat="1" ht="14">
      <c r="A104" s="44"/>
      <c r="B104" s="132"/>
      <c r="C104" s="109" t="s">
        <v>174</v>
      </c>
      <c r="D104" s="60"/>
      <c r="E104" s="57"/>
      <c r="F104" s="57"/>
      <c r="G104" s="122"/>
      <c r="H104" s="122"/>
      <c r="I104" s="122"/>
      <c r="J104" s="122"/>
      <c r="K104" s="122"/>
      <c r="L104" s="122"/>
      <c r="M104" s="122"/>
      <c r="N104" s="23"/>
      <c r="O104" s="23"/>
    </row>
    <row r="105" spans="1:15" s="80" customFormat="1" ht="28">
      <c r="A105" s="66">
        <v>11</v>
      </c>
      <c r="B105" s="134"/>
      <c r="C105" s="233" t="s">
        <v>188</v>
      </c>
      <c r="D105" s="68" t="s">
        <v>22</v>
      </c>
      <c r="E105" s="23"/>
      <c r="F105" s="227">
        <f>'მოცულ. რ.ბ'!Z35+'მოცულ. რ.ბ'!Z36+'მოცულ. რ.ბ'!Z37+'მოცულ. რ.ბ'!Z38</f>
        <v>9.5400000000000009</v>
      </c>
      <c r="G105" s="149"/>
      <c r="H105" s="149"/>
      <c r="I105" s="149"/>
      <c r="J105" s="149"/>
      <c r="K105" s="149"/>
      <c r="L105" s="149"/>
      <c r="M105" s="149"/>
      <c r="N105" s="23">
        <f>O105/F105</f>
        <v>0</v>
      </c>
      <c r="O105" s="23">
        <f>SUM(M106:M116)</f>
        <v>0</v>
      </c>
    </row>
    <row r="106" spans="1:15">
      <c r="A106" s="69"/>
      <c r="B106" s="132" t="s">
        <v>77</v>
      </c>
      <c r="C106" s="56"/>
      <c r="D106" s="60" t="s">
        <v>54</v>
      </c>
      <c r="E106" s="57"/>
      <c r="F106" s="70">
        <f>F105/100</f>
        <v>9.5400000000000013E-2</v>
      </c>
      <c r="G106" s="122"/>
      <c r="H106" s="122"/>
      <c r="I106" s="122"/>
      <c r="J106" s="122"/>
      <c r="K106" s="122"/>
      <c r="L106" s="122"/>
      <c r="M106" s="122"/>
      <c r="N106" s="23"/>
      <c r="O106" s="23"/>
    </row>
    <row r="107" spans="1:15">
      <c r="A107" s="69"/>
      <c r="B107" s="136" t="s">
        <v>59</v>
      </c>
      <c r="C107" s="56" t="s">
        <v>49</v>
      </c>
      <c r="D107" s="22" t="s">
        <v>22</v>
      </c>
      <c r="E107" s="57">
        <v>100</v>
      </c>
      <c r="F107" s="57">
        <f>E107*F106</f>
        <v>9.5400000000000009</v>
      </c>
      <c r="G107" s="122"/>
      <c r="H107" s="122"/>
      <c r="I107" s="122"/>
      <c r="J107" s="122"/>
      <c r="K107" s="122"/>
      <c r="L107" s="122"/>
      <c r="M107" s="122"/>
      <c r="N107" s="23"/>
      <c r="O107" s="23"/>
    </row>
    <row r="108" spans="1:15">
      <c r="A108" s="69"/>
      <c r="B108" s="132"/>
      <c r="C108" s="56" t="s">
        <v>72</v>
      </c>
      <c r="D108" s="60" t="s">
        <v>73</v>
      </c>
      <c r="E108" s="57">
        <v>336</v>
      </c>
      <c r="F108" s="57">
        <f>E108*F106</f>
        <v>32.054400000000001</v>
      </c>
      <c r="G108" s="122"/>
      <c r="H108" s="122"/>
      <c r="I108" s="122"/>
      <c r="J108" s="122"/>
      <c r="K108" s="122"/>
      <c r="L108" s="122"/>
      <c r="M108" s="122"/>
      <c r="N108" s="23"/>
      <c r="O108" s="23"/>
    </row>
    <row r="109" spans="1:15">
      <c r="A109" s="69"/>
      <c r="B109" s="137" t="s">
        <v>202</v>
      </c>
      <c r="C109" s="59" t="s">
        <v>172</v>
      </c>
      <c r="D109" s="58" t="s">
        <v>51</v>
      </c>
      <c r="E109" s="57">
        <v>1.01</v>
      </c>
      <c r="F109" s="234">
        <f>('მოცულ. რ.ბ'!Y35+'მოცულ. რ.ბ'!Y36+'მოცულ. რ.ბ'!Y37+'მოცულ. რ.ბ'!Y38)/1000*E109</f>
        <v>0.52174580000000004</v>
      </c>
      <c r="G109" s="122"/>
      <c r="H109" s="122"/>
      <c r="I109" s="122"/>
      <c r="J109" s="122"/>
      <c r="K109" s="122"/>
      <c r="L109" s="122"/>
      <c r="M109" s="122"/>
      <c r="N109" s="23"/>
      <c r="O109" s="23"/>
    </row>
    <row r="110" spans="1:15">
      <c r="A110" s="69"/>
      <c r="B110" s="137" t="s">
        <v>202</v>
      </c>
      <c r="C110" s="59" t="s">
        <v>173</v>
      </c>
      <c r="D110" s="58" t="s">
        <v>51</v>
      </c>
      <c r="E110" s="57">
        <v>1.01</v>
      </c>
      <c r="F110" s="234">
        <f>('მოცულ. რ.ბ'!W35+'მოცულ. რ.ბ'!W36+'მოცულ. რ.ბ'!W37+'მოცულ. რ.ბ'!W38)/1000*E110</f>
        <v>1.5392602</v>
      </c>
      <c r="G110" s="122"/>
      <c r="H110" s="122"/>
      <c r="I110" s="122"/>
      <c r="J110" s="122"/>
      <c r="K110" s="122"/>
      <c r="L110" s="122"/>
      <c r="M110" s="122"/>
      <c r="N110" s="23"/>
      <c r="O110" s="23"/>
    </row>
    <row r="111" spans="1:15">
      <c r="A111" s="69"/>
      <c r="B111" s="131" t="s">
        <v>203</v>
      </c>
      <c r="C111" s="62" t="s">
        <v>95</v>
      </c>
      <c r="D111" s="61" t="s">
        <v>63</v>
      </c>
      <c r="E111" s="57">
        <v>150</v>
      </c>
      <c r="F111" s="57">
        <f>E111*F106</f>
        <v>14.310000000000002</v>
      </c>
      <c r="G111" s="122"/>
      <c r="H111" s="122"/>
      <c r="I111" s="122"/>
      <c r="J111" s="122"/>
      <c r="K111" s="122"/>
      <c r="L111" s="122"/>
      <c r="M111" s="122"/>
      <c r="N111" s="23"/>
      <c r="O111" s="23"/>
    </row>
    <row r="112" spans="1:15">
      <c r="A112" s="69"/>
      <c r="B112" s="131" t="s">
        <v>205</v>
      </c>
      <c r="C112" s="59" t="s">
        <v>96</v>
      </c>
      <c r="D112" s="58" t="s">
        <v>22</v>
      </c>
      <c r="E112" s="57">
        <v>101.5</v>
      </c>
      <c r="F112" s="57">
        <f>E112*F106</f>
        <v>9.6831000000000014</v>
      </c>
      <c r="G112" s="122"/>
      <c r="H112" s="122"/>
      <c r="I112" s="122"/>
      <c r="J112" s="122"/>
      <c r="K112" s="122"/>
      <c r="L112" s="122"/>
      <c r="M112" s="122"/>
      <c r="N112" s="23"/>
      <c r="O112" s="23"/>
    </row>
    <row r="113" spans="1:15" s="20" customFormat="1">
      <c r="A113" s="69"/>
      <c r="B113" s="137"/>
      <c r="C113" s="59" t="s">
        <v>210</v>
      </c>
      <c r="D113" s="58" t="s">
        <v>22</v>
      </c>
      <c r="E113" s="57">
        <v>1</v>
      </c>
      <c r="F113" s="70">
        <f>E113*F112</f>
        <v>9.6831000000000014</v>
      </c>
      <c r="G113" s="122"/>
      <c r="H113" s="122"/>
      <c r="I113" s="122"/>
      <c r="J113" s="122"/>
      <c r="K113" s="122"/>
      <c r="L113" s="122"/>
      <c r="M113" s="122"/>
      <c r="N113" s="23"/>
      <c r="O113" s="23"/>
    </row>
    <row r="114" spans="1:15">
      <c r="A114" s="69"/>
      <c r="B114" s="131" t="s">
        <v>209</v>
      </c>
      <c r="C114" s="59" t="s">
        <v>97</v>
      </c>
      <c r="D114" s="58" t="s">
        <v>22</v>
      </c>
      <c r="E114" s="57">
        <f>5.81+0.67</f>
        <v>6.4799999999999995</v>
      </c>
      <c r="F114" s="57">
        <f>E114*F106</f>
        <v>0.61819200000000007</v>
      </c>
      <c r="G114" s="122"/>
      <c r="H114" s="122"/>
      <c r="I114" s="122"/>
      <c r="J114" s="122"/>
      <c r="K114" s="122"/>
      <c r="L114" s="122"/>
      <c r="M114" s="122"/>
      <c r="N114" s="23"/>
      <c r="O114" s="23"/>
    </row>
    <row r="115" spans="1:15">
      <c r="A115" s="69"/>
      <c r="B115" s="131" t="s">
        <v>207</v>
      </c>
      <c r="C115" s="59" t="s">
        <v>98</v>
      </c>
      <c r="D115" s="58" t="s">
        <v>23</v>
      </c>
      <c r="E115" s="57">
        <v>242</v>
      </c>
      <c r="F115" s="57">
        <f>E115*F106</f>
        <v>23.086800000000004</v>
      </c>
      <c r="G115" s="122"/>
      <c r="H115" s="122"/>
      <c r="I115" s="122"/>
      <c r="J115" s="122"/>
      <c r="K115" s="122"/>
      <c r="L115" s="122"/>
      <c r="M115" s="122"/>
      <c r="N115" s="23"/>
      <c r="O115" s="23"/>
    </row>
    <row r="116" spans="1:15">
      <c r="A116" s="69"/>
      <c r="B116" s="131"/>
      <c r="C116" s="146" t="s">
        <v>74</v>
      </c>
      <c r="D116" s="147" t="s">
        <v>73</v>
      </c>
      <c r="E116" s="57">
        <v>60</v>
      </c>
      <c r="F116" s="57">
        <f>E116*F106</f>
        <v>5.7240000000000011</v>
      </c>
      <c r="G116" s="151"/>
      <c r="H116" s="122"/>
      <c r="I116" s="122"/>
      <c r="J116" s="122"/>
      <c r="K116" s="122"/>
      <c r="L116" s="122"/>
      <c r="M116" s="122"/>
      <c r="N116" s="23"/>
      <c r="O116" s="23"/>
    </row>
    <row r="117" spans="1:15" s="80" customFormat="1" ht="28">
      <c r="A117" s="66">
        <v>12</v>
      </c>
      <c r="B117" s="134"/>
      <c r="C117" s="67" t="s">
        <v>175</v>
      </c>
      <c r="D117" s="68" t="s">
        <v>22</v>
      </c>
      <c r="E117" s="23"/>
      <c r="F117" s="227">
        <f>'მოცულ. რ.ბ'!Z42</f>
        <v>49.5</v>
      </c>
      <c r="G117" s="149"/>
      <c r="H117" s="149"/>
      <c r="I117" s="149"/>
      <c r="J117" s="149"/>
      <c r="K117" s="149"/>
      <c r="L117" s="149"/>
      <c r="M117" s="149"/>
      <c r="N117" s="23">
        <f>O117/F117</f>
        <v>0</v>
      </c>
      <c r="O117" s="23">
        <f>SUM(M118:M128)</f>
        <v>0</v>
      </c>
    </row>
    <row r="118" spans="1:15">
      <c r="A118" s="69"/>
      <c r="B118" s="132" t="s">
        <v>106</v>
      </c>
      <c r="C118" s="56"/>
      <c r="D118" s="60" t="s">
        <v>54</v>
      </c>
      <c r="E118" s="57"/>
      <c r="F118" s="70">
        <f>F117/100</f>
        <v>0.495</v>
      </c>
      <c r="G118" s="122"/>
      <c r="H118" s="122"/>
      <c r="I118" s="122"/>
      <c r="J118" s="122"/>
      <c r="K118" s="122"/>
      <c r="L118" s="122"/>
      <c r="M118" s="122"/>
      <c r="N118" s="23"/>
      <c r="O118" s="23"/>
    </row>
    <row r="119" spans="1:15">
      <c r="A119" s="69"/>
      <c r="B119" s="136" t="s">
        <v>59</v>
      </c>
      <c r="C119" s="56" t="s">
        <v>49</v>
      </c>
      <c r="D119" s="22" t="s">
        <v>22</v>
      </c>
      <c r="E119" s="57">
        <v>100</v>
      </c>
      <c r="F119" s="57">
        <f>E119*F118</f>
        <v>49.5</v>
      </c>
      <c r="G119" s="122"/>
      <c r="H119" s="122"/>
      <c r="I119" s="122"/>
      <c r="J119" s="122"/>
      <c r="K119" s="122"/>
      <c r="L119" s="122"/>
      <c r="M119" s="122"/>
      <c r="N119" s="23"/>
      <c r="O119" s="23"/>
    </row>
    <row r="120" spans="1:15">
      <c r="A120" s="69"/>
      <c r="B120" s="132"/>
      <c r="C120" s="56" t="s">
        <v>72</v>
      </c>
      <c r="D120" s="60" t="s">
        <v>73</v>
      </c>
      <c r="E120" s="57">
        <v>110</v>
      </c>
      <c r="F120" s="57">
        <f>E120*F118</f>
        <v>54.45</v>
      </c>
      <c r="G120" s="122"/>
      <c r="H120" s="122"/>
      <c r="I120" s="122"/>
      <c r="J120" s="122"/>
      <c r="K120" s="122"/>
      <c r="L120" s="122"/>
      <c r="M120" s="122"/>
      <c r="N120" s="23"/>
      <c r="O120" s="23"/>
    </row>
    <row r="121" spans="1:15">
      <c r="A121" s="69"/>
      <c r="B121" s="137" t="s">
        <v>202</v>
      </c>
      <c r="C121" s="59" t="s">
        <v>172</v>
      </c>
      <c r="D121" s="58" t="s">
        <v>51</v>
      </c>
      <c r="E121" s="57">
        <v>1.03</v>
      </c>
      <c r="F121" s="234">
        <f>'მოცულ. რ.ბ'!Y42/1000*E121</f>
        <v>0.1757695</v>
      </c>
      <c r="G121" s="122"/>
      <c r="H121" s="122"/>
      <c r="I121" s="122"/>
      <c r="J121" s="122"/>
      <c r="K121" s="122"/>
      <c r="L121" s="122"/>
      <c r="M121" s="122"/>
      <c r="N121" s="23"/>
      <c r="O121" s="23"/>
    </row>
    <row r="122" spans="1:15">
      <c r="A122" s="69"/>
      <c r="B122" s="137" t="s">
        <v>202</v>
      </c>
      <c r="C122" s="59" t="s">
        <v>173</v>
      </c>
      <c r="D122" s="58" t="s">
        <v>51</v>
      </c>
      <c r="E122" s="57">
        <v>1.03</v>
      </c>
      <c r="F122" s="234">
        <f>'მოცულ. რ.ბ'!W42/1000*E122</f>
        <v>4.1011715999999998</v>
      </c>
      <c r="G122" s="122"/>
      <c r="H122" s="122"/>
      <c r="I122" s="122"/>
      <c r="J122" s="122"/>
      <c r="K122" s="122"/>
      <c r="L122" s="122"/>
      <c r="M122" s="122"/>
      <c r="N122" s="23"/>
      <c r="O122" s="23"/>
    </row>
    <row r="123" spans="1:15">
      <c r="A123" s="69"/>
      <c r="B123" s="131" t="s">
        <v>203</v>
      </c>
      <c r="C123" s="62" t="s">
        <v>95</v>
      </c>
      <c r="D123" s="61" t="s">
        <v>63</v>
      </c>
      <c r="E123" s="57">
        <v>100</v>
      </c>
      <c r="F123" s="57">
        <f>E123*F118</f>
        <v>49.5</v>
      </c>
      <c r="G123" s="122"/>
      <c r="H123" s="122"/>
      <c r="I123" s="122"/>
      <c r="J123" s="122"/>
      <c r="K123" s="122"/>
      <c r="L123" s="122"/>
      <c r="M123" s="122"/>
      <c r="N123" s="23"/>
      <c r="O123" s="23"/>
    </row>
    <row r="124" spans="1:15">
      <c r="A124" s="69"/>
      <c r="B124" s="131" t="s">
        <v>205</v>
      </c>
      <c r="C124" s="59" t="s">
        <v>96</v>
      </c>
      <c r="D124" s="58" t="s">
        <v>22</v>
      </c>
      <c r="E124" s="57">
        <v>101.5</v>
      </c>
      <c r="F124" s="57">
        <f>E124*F118</f>
        <v>50.2425</v>
      </c>
      <c r="G124" s="122"/>
      <c r="H124" s="122"/>
      <c r="I124" s="122"/>
      <c r="J124" s="122"/>
      <c r="K124" s="122"/>
      <c r="L124" s="122"/>
      <c r="M124" s="122"/>
      <c r="N124" s="23"/>
      <c r="O124" s="23"/>
    </row>
    <row r="125" spans="1:15" s="20" customFormat="1">
      <c r="A125" s="69"/>
      <c r="B125" s="137"/>
      <c r="C125" s="59" t="s">
        <v>210</v>
      </c>
      <c r="D125" s="58" t="s">
        <v>22</v>
      </c>
      <c r="E125" s="57">
        <v>1</v>
      </c>
      <c r="F125" s="70">
        <f>E125*F124</f>
        <v>50.2425</v>
      </c>
      <c r="G125" s="122"/>
      <c r="H125" s="122"/>
      <c r="I125" s="122"/>
      <c r="J125" s="122"/>
      <c r="K125" s="122"/>
      <c r="L125" s="122"/>
      <c r="M125" s="122"/>
      <c r="N125" s="23"/>
      <c r="O125" s="23"/>
    </row>
    <row r="126" spans="1:15">
      <c r="A126" s="69"/>
      <c r="B126" s="131" t="s">
        <v>209</v>
      </c>
      <c r="C126" s="59" t="s">
        <v>97</v>
      </c>
      <c r="D126" s="58" t="s">
        <v>22</v>
      </c>
      <c r="E126" s="57">
        <f>3.91+0.34</f>
        <v>4.25</v>
      </c>
      <c r="F126" s="57">
        <f>E126*F118</f>
        <v>2.1037499999999998</v>
      </c>
      <c r="G126" s="122"/>
      <c r="H126" s="122"/>
      <c r="I126" s="122"/>
      <c r="J126" s="122"/>
      <c r="K126" s="122"/>
      <c r="L126" s="122"/>
      <c r="M126" s="122"/>
      <c r="N126" s="23"/>
      <c r="O126" s="23"/>
    </row>
    <row r="127" spans="1:15">
      <c r="A127" s="69"/>
      <c r="B127" s="131" t="s">
        <v>207</v>
      </c>
      <c r="C127" s="59" t="s">
        <v>98</v>
      </c>
      <c r="D127" s="58" t="s">
        <v>23</v>
      </c>
      <c r="E127" s="57">
        <v>184</v>
      </c>
      <c r="F127" s="57">
        <f>E127*F118</f>
        <v>91.08</v>
      </c>
      <c r="G127" s="122"/>
      <c r="H127" s="122"/>
      <c r="I127" s="122"/>
      <c r="J127" s="122"/>
      <c r="K127" s="122"/>
      <c r="L127" s="122"/>
      <c r="M127" s="122"/>
      <c r="N127" s="23"/>
      <c r="O127" s="23"/>
    </row>
    <row r="128" spans="1:15">
      <c r="A128" s="69"/>
      <c r="B128" s="131"/>
      <c r="C128" s="146" t="s">
        <v>74</v>
      </c>
      <c r="D128" s="147" t="s">
        <v>73</v>
      </c>
      <c r="E128" s="57">
        <v>46</v>
      </c>
      <c r="F128" s="57">
        <f>E128*F118</f>
        <v>22.77</v>
      </c>
      <c r="G128" s="151"/>
      <c r="H128" s="122"/>
      <c r="I128" s="122"/>
      <c r="J128" s="122"/>
      <c r="K128" s="122"/>
      <c r="L128" s="122"/>
      <c r="M128" s="122"/>
      <c r="N128" s="23"/>
      <c r="O128" s="23"/>
    </row>
    <row r="129" spans="1:15" s="80" customFormat="1" ht="28">
      <c r="A129" s="66">
        <v>13</v>
      </c>
      <c r="B129" s="134"/>
      <c r="C129" s="67" t="s">
        <v>176</v>
      </c>
      <c r="D129" s="68" t="s">
        <v>22</v>
      </c>
      <c r="E129" s="23"/>
      <c r="F129" s="227">
        <f>'მოცულ. რ.ბ'!Z69</f>
        <v>19.18</v>
      </c>
      <c r="G129" s="149"/>
      <c r="H129" s="149"/>
      <c r="I129" s="149"/>
      <c r="J129" s="149"/>
      <c r="K129" s="149"/>
      <c r="L129" s="149"/>
      <c r="M129" s="149"/>
      <c r="N129" s="23">
        <f>O129/F129</f>
        <v>0</v>
      </c>
      <c r="O129" s="23">
        <f>SUM(M131:M141)</f>
        <v>0</v>
      </c>
    </row>
    <row r="130" spans="1:15">
      <c r="A130" s="69"/>
      <c r="B130" s="132"/>
      <c r="C130" s="56"/>
      <c r="D130" s="22"/>
      <c r="E130" s="57"/>
      <c r="F130" s="57"/>
      <c r="G130" s="122"/>
      <c r="H130" s="122"/>
      <c r="I130" s="122"/>
      <c r="J130" s="122"/>
      <c r="K130" s="122"/>
      <c r="L130" s="122"/>
      <c r="M130" s="122"/>
      <c r="N130" s="23"/>
      <c r="O130" s="23"/>
    </row>
    <row r="131" spans="1:15">
      <c r="A131" s="69"/>
      <c r="B131" s="132" t="s">
        <v>78</v>
      </c>
      <c r="C131" s="56" t="s">
        <v>79</v>
      </c>
      <c r="D131" s="60" t="s">
        <v>54</v>
      </c>
      <c r="E131" s="57"/>
      <c r="F131" s="70">
        <f>F129/100</f>
        <v>0.1918</v>
      </c>
      <c r="G131" s="122"/>
      <c r="H131" s="122"/>
      <c r="I131" s="122"/>
      <c r="J131" s="122"/>
      <c r="K131" s="122"/>
      <c r="L131" s="122"/>
      <c r="M131" s="122"/>
      <c r="N131" s="23"/>
      <c r="O131" s="23"/>
    </row>
    <row r="132" spans="1:15">
      <c r="A132" s="69"/>
      <c r="B132" s="136" t="s">
        <v>59</v>
      </c>
      <c r="C132" s="56" t="s">
        <v>49</v>
      </c>
      <c r="D132" s="22" t="s">
        <v>22</v>
      </c>
      <c r="E132" s="57">
        <v>100</v>
      </c>
      <c r="F132" s="57">
        <f>E132*F131</f>
        <v>19.18</v>
      </c>
      <c r="G132" s="122"/>
      <c r="H132" s="122"/>
      <c r="I132" s="122"/>
      <c r="J132" s="122"/>
      <c r="K132" s="122"/>
      <c r="L132" s="122"/>
      <c r="M132" s="122"/>
      <c r="N132" s="23"/>
      <c r="O132" s="23"/>
    </row>
    <row r="133" spans="1:15">
      <c r="A133" s="69"/>
      <c r="B133" s="132"/>
      <c r="C133" s="56" t="s">
        <v>72</v>
      </c>
      <c r="D133" s="60" t="s">
        <v>73</v>
      </c>
      <c r="E133" s="57">
        <v>121</v>
      </c>
      <c r="F133" s="57">
        <f>E133*F131</f>
        <v>23.207799999999999</v>
      </c>
      <c r="G133" s="122"/>
      <c r="H133" s="122"/>
      <c r="I133" s="122"/>
      <c r="J133" s="122"/>
      <c r="K133" s="122"/>
      <c r="L133" s="122"/>
      <c r="M133" s="122"/>
      <c r="N133" s="23"/>
      <c r="O133" s="23"/>
    </row>
    <row r="134" spans="1:15">
      <c r="A134" s="69"/>
      <c r="B134" s="137" t="s">
        <v>202</v>
      </c>
      <c r="C134" s="59" t="s">
        <v>172</v>
      </c>
      <c r="D134" s="58" t="s">
        <v>51</v>
      </c>
      <c r="E134" s="57">
        <v>1.03</v>
      </c>
      <c r="F134" s="234">
        <f>'მოცულ. რ.ბ'!Y69/1000*E134</f>
        <v>1.1021927000000002</v>
      </c>
      <c r="G134" s="122"/>
      <c r="H134" s="122"/>
      <c r="I134" s="122"/>
      <c r="J134" s="122"/>
      <c r="K134" s="122"/>
      <c r="L134" s="122"/>
      <c r="M134" s="122"/>
      <c r="N134" s="23"/>
      <c r="O134" s="23"/>
    </row>
    <row r="135" spans="1:15">
      <c r="A135" s="69"/>
      <c r="B135" s="137" t="s">
        <v>202</v>
      </c>
      <c r="C135" s="59" t="s">
        <v>173</v>
      </c>
      <c r="D135" s="58" t="s">
        <v>51</v>
      </c>
      <c r="E135" s="57">
        <v>1.03</v>
      </c>
      <c r="F135" s="234">
        <f>'მოცულ. რ.ბ'!W69/1000*E135</f>
        <v>2.1436462999999999</v>
      </c>
      <c r="G135" s="122"/>
      <c r="H135" s="122"/>
      <c r="I135" s="122"/>
      <c r="J135" s="122"/>
      <c r="K135" s="122"/>
      <c r="L135" s="122"/>
      <c r="M135" s="122"/>
      <c r="N135" s="23"/>
      <c r="O135" s="23"/>
    </row>
    <row r="136" spans="1:15" s="84" customFormat="1">
      <c r="A136" s="81"/>
      <c r="B136" s="131" t="s">
        <v>203</v>
      </c>
      <c r="C136" s="62" t="s">
        <v>95</v>
      </c>
      <c r="D136" s="82" t="s">
        <v>63</v>
      </c>
      <c r="E136" s="57">
        <v>330</v>
      </c>
      <c r="F136" s="57">
        <f>E136*F131</f>
        <v>63.293999999999997</v>
      </c>
      <c r="G136" s="122"/>
      <c r="H136" s="122"/>
      <c r="I136" s="122"/>
      <c r="J136" s="122"/>
      <c r="K136" s="122"/>
      <c r="L136" s="122"/>
      <c r="M136" s="122"/>
      <c r="N136" s="83"/>
      <c r="O136" s="83"/>
    </row>
    <row r="137" spans="1:15">
      <c r="A137" s="69"/>
      <c r="B137" s="131" t="s">
        <v>205</v>
      </c>
      <c r="C137" s="59" t="s">
        <v>96</v>
      </c>
      <c r="D137" s="58" t="s">
        <v>22</v>
      </c>
      <c r="E137" s="57">
        <v>100</v>
      </c>
      <c r="F137" s="57">
        <f>E137*F131</f>
        <v>19.18</v>
      </c>
      <c r="G137" s="122"/>
      <c r="H137" s="122"/>
      <c r="I137" s="122"/>
      <c r="J137" s="122"/>
      <c r="K137" s="122"/>
      <c r="L137" s="122"/>
      <c r="M137" s="122"/>
      <c r="N137" s="23"/>
      <c r="O137" s="23"/>
    </row>
    <row r="138" spans="1:15" s="20" customFormat="1">
      <c r="A138" s="69"/>
      <c r="B138" s="137"/>
      <c r="C138" s="59" t="s">
        <v>210</v>
      </c>
      <c r="D138" s="58" t="s">
        <v>22</v>
      </c>
      <c r="E138" s="57">
        <v>1</v>
      </c>
      <c r="F138" s="70">
        <f>E138*F137</f>
        <v>19.18</v>
      </c>
      <c r="G138" s="122"/>
      <c r="H138" s="122"/>
      <c r="I138" s="122"/>
      <c r="J138" s="122"/>
      <c r="K138" s="122"/>
      <c r="L138" s="122"/>
      <c r="M138" s="122"/>
      <c r="N138" s="23"/>
      <c r="O138" s="23"/>
    </row>
    <row r="139" spans="1:15">
      <c r="A139" s="69"/>
      <c r="B139" s="131" t="s">
        <v>209</v>
      </c>
      <c r="C139" s="59" t="s">
        <v>97</v>
      </c>
      <c r="D139" s="58" t="s">
        <v>22</v>
      </c>
      <c r="E139" s="57">
        <f>1.6+0.7</f>
        <v>2.2999999999999998</v>
      </c>
      <c r="F139" s="57">
        <f>E139*F131</f>
        <v>0.44113999999999998</v>
      </c>
      <c r="G139" s="122"/>
      <c r="H139" s="122"/>
      <c r="I139" s="122"/>
      <c r="J139" s="122"/>
      <c r="K139" s="122"/>
      <c r="L139" s="122"/>
      <c r="M139" s="122"/>
      <c r="N139" s="23"/>
      <c r="O139" s="23"/>
    </row>
    <row r="140" spans="1:15">
      <c r="A140" s="69"/>
      <c r="B140" s="131" t="s">
        <v>207</v>
      </c>
      <c r="C140" s="59" t="s">
        <v>98</v>
      </c>
      <c r="D140" s="58" t="s">
        <v>23</v>
      </c>
      <c r="E140" s="57">
        <v>246</v>
      </c>
      <c r="F140" s="57">
        <f>E140*F131</f>
        <v>47.1828</v>
      </c>
      <c r="G140" s="122"/>
      <c r="H140" s="122"/>
      <c r="I140" s="122"/>
      <c r="J140" s="122"/>
      <c r="K140" s="122"/>
      <c r="L140" s="122"/>
      <c r="M140" s="122"/>
      <c r="N140" s="23"/>
      <c r="O140" s="23"/>
    </row>
    <row r="141" spans="1:15">
      <c r="A141" s="69"/>
      <c r="B141" s="131"/>
      <c r="C141" s="146" t="s">
        <v>74</v>
      </c>
      <c r="D141" s="147" t="s">
        <v>73</v>
      </c>
      <c r="E141" s="57">
        <v>90</v>
      </c>
      <c r="F141" s="57">
        <f>E141*F131</f>
        <v>17.262</v>
      </c>
      <c r="G141" s="151"/>
      <c r="H141" s="122"/>
      <c r="I141" s="122"/>
      <c r="J141" s="122"/>
      <c r="K141" s="122"/>
      <c r="L141" s="122"/>
      <c r="M141" s="122"/>
      <c r="N141" s="23"/>
      <c r="O141" s="23"/>
    </row>
    <row r="142" spans="1:15" s="80" customFormat="1" ht="28">
      <c r="A142" s="66">
        <v>14</v>
      </c>
      <c r="B142" s="134"/>
      <c r="C142" s="67" t="s">
        <v>179</v>
      </c>
      <c r="D142" s="68" t="s">
        <v>22</v>
      </c>
      <c r="E142" s="23"/>
      <c r="F142" s="227">
        <f>'მოცულ. რ.ბ'!Z70</f>
        <v>48.48</v>
      </c>
      <c r="G142" s="149"/>
      <c r="H142" s="149"/>
      <c r="I142" s="149"/>
      <c r="J142" s="149"/>
      <c r="K142" s="149"/>
      <c r="L142" s="149"/>
      <c r="M142" s="149"/>
      <c r="N142" s="23">
        <f>O142/F142</f>
        <v>0</v>
      </c>
      <c r="O142" s="23">
        <f>SUM(M143:M152)</f>
        <v>0</v>
      </c>
    </row>
    <row r="143" spans="1:15">
      <c r="A143" s="69"/>
      <c r="B143" s="132" t="s">
        <v>80</v>
      </c>
      <c r="C143" s="56" t="s">
        <v>81</v>
      </c>
      <c r="D143" s="60" t="s">
        <v>54</v>
      </c>
      <c r="E143" s="57"/>
      <c r="F143" s="57">
        <f>F142/100</f>
        <v>0.48479999999999995</v>
      </c>
      <c r="G143" s="122"/>
      <c r="H143" s="122"/>
      <c r="I143" s="122"/>
      <c r="J143" s="122"/>
      <c r="K143" s="122"/>
      <c r="L143" s="122"/>
      <c r="M143" s="122"/>
      <c r="N143" s="23"/>
      <c r="O143" s="23"/>
    </row>
    <row r="144" spans="1:15">
      <c r="A144" s="69"/>
      <c r="B144" s="136" t="s">
        <v>59</v>
      </c>
      <c r="C144" s="56" t="s">
        <v>49</v>
      </c>
      <c r="D144" s="22" t="s">
        <v>22</v>
      </c>
      <c r="E144" s="57">
        <v>100</v>
      </c>
      <c r="F144" s="57">
        <f>E144*F143</f>
        <v>48.48</v>
      </c>
      <c r="G144" s="122"/>
      <c r="H144" s="122"/>
      <c r="I144" s="122"/>
      <c r="J144" s="122"/>
      <c r="K144" s="122"/>
      <c r="L144" s="122"/>
      <c r="M144" s="122"/>
      <c r="N144" s="23"/>
      <c r="O144" s="23"/>
    </row>
    <row r="145" spans="1:15">
      <c r="A145" s="69"/>
      <c r="B145" s="132"/>
      <c r="C145" s="56" t="s">
        <v>72</v>
      </c>
      <c r="D145" s="60" t="s">
        <v>73</v>
      </c>
      <c r="E145" s="57">
        <v>81</v>
      </c>
      <c r="F145" s="57">
        <f>E145*F143</f>
        <v>39.268799999999999</v>
      </c>
      <c r="G145" s="122"/>
      <c r="H145" s="122"/>
      <c r="I145" s="122"/>
      <c r="J145" s="122"/>
      <c r="K145" s="122"/>
      <c r="L145" s="122"/>
      <c r="M145" s="122"/>
      <c r="N145" s="23"/>
      <c r="O145" s="23"/>
    </row>
    <row r="146" spans="1:15">
      <c r="A146" s="69"/>
      <c r="B146" s="137" t="s">
        <v>202</v>
      </c>
      <c r="C146" s="59" t="s">
        <v>172</v>
      </c>
      <c r="D146" s="58" t="s">
        <v>51</v>
      </c>
      <c r="E146" s="57">
        <v>1.03</v>
      </c>
      <c r="F146" s="234">
        <f>E146*('მოცულ. რ.ბ'!Y70)/1000</f>
        <v>0.11898560000000001</v>
      </c>
      <c r="G146" s="122"/>
      <c r="H146" s="122"/>
      <c r="I146" s="122"/>
      <c r="J146" s="122"/>
      <c r="K146" s="122"/>
      <c r="L146" s="122"/>
      <c r="M146" s="122"/>
      <c r="N146" s="23"/>
      <c r="O146" s="23"/>
    </row>
    <row r="147" spans="1:15">
      <c r="A147" s="69"/>
      <c r="B147" s="137" t="s">
        <v>202</v>
      </c>
      <c r="C147" s="59" t="s">
        <v>173</v>
      </c>
      <c r="D147" s="58" t="s">
        <v>51</v>
      </c>
      <c r="E147" s="57">
        <v>1.03</v>
      </c>
      <c r="F147" s="234">
        <f>E147*('მოცულ. რ.ბ'!W70)/1000</f>
        <v>4.4136529999999992</v>
      </c>
      <c r="G147" s="122"/>
      <c r="H147" s="122"/>
      <c r="I147" s="122"/>
      <c r="J147" s="122"/>
      <c r="K147" s="122"/>
      <c r="L147" s="122"/>
      <c r="M147" s="122"/>
      <c r="N147" s="23"/>
      <c r="O147" s="23"/>
    </row>
    <row r="148" spans="1:15">
      <c r="A148" s="69"/>
      <c r="B148" s="131" t="s">
        <v>205</v>
      </c>
      <c r="C148" s="59" t="s">
        <v>96</v>
      </c>
      <c r="D148" s="58" t="s">
        <v>22</v>
      </c>
      <c r="E148" s="57">
        <v>101.5</v>
      </c>
      <c r="F148" s="57">
        <f>E148*F143</f>
        <v>49.207199999999993</v>
      </c>
      <c r="G148" s="122"/>
      <c r="H148" s="122"/>
      <c r="I148" s="122"/>
      <c r="J148" s="122"/>
      <c r="K148" s="122"/>
      <c r="L148" s="122"/>
      <c r="M148" s="122"/>
      <c r="N148" s="23"/>
      <c r="O148" s="23"/>
    </row>
    <row r="149" spans="1:15" s="20" customFormat="1">
      <c r="A149" s="69"/>
      <c r="B149" s="137"/>
      <c r="C149" s="59" t="s">
        <v>210</v>
      </c>
      <c r="D149" s="58" t="s">
        <v>22</v>
      </c>
      <c r="E149" s="57">
        <v>1</v>
      </c>
      <c r="F149" s="70">
        <f>E149*F148</f>
        <v>49.207199999999993</v>
      </c>
      <c r="G149" s="122"/>
      <c r="H149" s="122"/>
      <c r="I149" s="122"/>
      <c r="J149" s="122"/>
      <c r="K149" s="122"/>
      <c r="L149" s="122"/>
      <c r="M149" s="122"/>
      <c r="N149" s="23"/>
      <c r="O149" s="23"/>
    </row>
    <row r="150" spans="1:15">
      <c r="A150" s="69"/>
      <c r="B150" s="131" t="s">
        <v>209</v>
      </c>
      <c r="C150" s="59" t="s">
        <v>97</v>
      </c>
      <c r="D150" s="58" t="s">
        <v>22</v>
      </c>
      <c r="E150" s="57">
        <f>0.84+2.56+0.26</f>
        <v>3.66</v>
      </c>
      <c r="F150" s="57">
        <f>E150*F143</f>
        <v>1.7743679999999999</v>
      </c>
      <c r="G150" s="122"/>
      <c r="H150" s="122"/>
      <c r="I150" s="122"/>
      <c r="J150" s="122"/>
      <c r="K150" s="122"/>
      <c r="L150" s="122"/>
      <c r="M150" s="122"/>
      <c r="N150" s="23"/>
      <c r="O150" s="23"/>
    </row>
    <row r="151" spans="1:15">
      <c r="A151" s="69"/>
      <c r="B151" s="131" t="s">
        <v>207</v>
      </c>
      <c r="C151" s="59" t="s">
        <v>98</v>
      </c>
      <c r="D151" s="58" t="s">
        <v>23</v>
      </c>
      <c r="E151" s="57">
        <v>137</v>
      </c>
      <c r="F151" s="57">
        <f>E151*F143</f>
        <v>66.417599999999993</v>
      </c>
      <c r="G151" s="122"/>
      <c r="H151" s="122"/>
      <c r="I151" s="122"/>
      <c r="J151" s="122"/>
      <c r="K151" s="122"/>
      <c r="L151" s="122"/>
      <c r="M151" s="122"/>
      <c r="N151" s="23"/>
      <c r="O151" s="23"/>
    </row>
    <row r="152" spans="1:15">
      <c r="A152" s="69"/>
      <c r="B152" s="131"/>
      <c r="C152" s="146" t="s">
        <v>74</v>
      </c>
      <c r="D152" s="147" t="s">
        <v>73</v>
      </c>
      <c r="E152" s="57">
        <v>39</v>
      </c>
      <c r="F152" s="57">
        <f>E152*F143</f>
        <v>18.9072</v>
      </c>
      <c r="G152" s="151"/>
      <c r="H152" s="122"/>
      <c r="I152" s="122"/>
      <c r="J152" s="122"/>
      <c r="K152" s="122"/>
      <c r="L152" s="122"/>
      <c r="M152" s="122"/>
      <c r="N152" s="23"/>
      <c r="O152" s="23"/>
    </row>
    <row r="153" spans="1:15" s="80" customFormat="1" ht="29.25" customHeight="1">
      <c r="A153" s="66">
        <v>15</v>
      </c>
      <c r="B153" s="139"/>
      <c r="C153" s="85" t="s">
        <v>196</v>
      </c>
      <c r="D153" s="86" t="s">
        <v>22</v>
      </c>
      <c r="E153" s="23"/>
      <c r="F153" s="227">
        <f>'მოცულ. რ.ბ'!Z92</f>
        <v>2.0950000000000002</v>
      </c>
      <c r="G153" s="149"/>
      <c r="H153" s="149"/>
      <c r="I153" s="149"/>
      <c r="J153" s="149"/>
      <c r="K153" s="149"/>
      <c r="L153" s="149"/>
      <c r="M153" s="149"/>
      <c r="N153" s="23">
        <f>O153/F153</f>
        <v>0</v>
      </c>
      <c r="O153" s="23">
        <f>SUM(M154:M163)</f>
        <v>0</v>
      </c>
    </row>
    <row r="154" spans="1:15">
      <c r="A154" s="69"/>
      <c r="B154" s="132" t="s">
        <v>84</v>
      </c>
      <c r="C154" s="59"/>
      <c r="D154" s="60" t="s">
        <v>54</v>
      </c>
      <c r="E154" s="57"/>
      <c r="F154" s="70">
        <f>F153/100</f>
        <v>2.0950000000000003E-2</v>
      </c>
      <c r="G154" s="122"/>
      <c r="H154" s="122"/>
      <c r="I154" s="122"/>
      <c r="J154" s="122"/>
      <c r="K154" s="122"/>
      <c r="L154" s="122"/>
      <c r="M154" s="122"/>
      <c r="N154" s="23"/>
      <c r="O154" s="23"/>
    </row>
    <row r="155" spans="1:15">
      <c r="A155" s="69"/>
      <c r="B155" s="136"/>
      <c r="C155" s="56" t="s">
        <v>49</v>
      </c>
      <c r="D155" s="22" t="s">
        <v>50</v>
      </c>
      <c r="E155" s="87">
        <v>3530</v>
      </c>
      <c r="F155" s="57">
        <f>E155*F154</f>
        <v>73.953500000000005</v>
      </c>
      <c r="G155" s="122"/>
      <c r="H155" s="122"/>
      <c r="I155" s="122"/>
      <c r="J155" s="122"/>
      <c r="K155" s="122"/>
      <c r="L155" s="122"/>
      <c r="M155" s="122"/>
      <c r="N155" s="23"/>
      <c r="O155" s="23"/>
    </row>
    <row r="156" spans="1:15">
      <c r="A156" s="69"/>
      <c r="B156" s="132" t="s">
        <v>198</v>
      </c>
      <c r="C156" s="56" t="s">
        <v>93</v>
      </c>
      <c r="D156" s="60" t="s">
        <v>62</v>
      </c>
      <c r="E156" s="57">
        <v>195</v>
      </c>
      <c r="F156" s="57">
        <f>E156*F154</f>
        <v>4.0852500000000003</v>
      </c>
      <c r="G156" s="122"/>
      <c r="H156" s="122"/>
      <c r="I156" s="122"/>
      <c r="J156" s="122"/>
      <c r="K156" s="122"/>
      <c r="L156" s="122"/>
      <c r="M156" s="122"/>
      <c r="N156" s="23"/>
      <c r="O156" s="23"/>
    </row>
    <row r="157" spans="1:15">
      <c r="A157" s="69"/>
      <c r="B157" s="132"/>
      <c r="C157" s="56" t="s">
        <v>72</v>
      </c>
      <c r="D157" s="60" t="s">
        <v>73</v>
      </c>
      <c r="E157" s="57">
        <v>6.32</v>
      </c>
      <c r="F157" s="57">
        <f>E157*F154</f>
        <v>0.13240400000000002</v>
      </c>
      <c r="G157" s="122"/>
      <c r="H157" s="122"/>
      <c r="I157" s="122"/>
      <c r="J157" s="122"/>
      <c r="K157" s="122"/>
      <c r="L157" s="122"/>
      <c r="M157" s="122"/>
      <c r="N157" s="23"/>
      <c r="O157" s="23"/>
    </row>
    <row r="158" spans="1:15">
      <c r="A158" s="69"/>
      <c r="B158" s="137" t="s">
        <v>202</v>
      </c>
      <c r="C158" s="59" t="s">
        <v>172</v>
      </c>
      <c r="D158" s="58" t="s">
        <v>51</v>
      </c>
      <c r="E158" s="57">
        <v>1.03</v>
      </c>
      <c r="F158" s="234">
        <f>'მოცულ. რ.ბ'!Y92/1000*E158</f>
        <v>4.1509000000000008E-3</v>
      </c>
      <c r="G158" s="122"/>
      <c r="H158" s="122"/>
      <c r="I158" s="122"/>
      <c r="J158" s="122"/>
      <c r="K158" s="122"/>
      <c r="L158" s="122"/>
      <c r="M158" s="122"/>
      <c r="N158" s="23"/>
      <c r="O158" s="23"/>
    </row>
    <row r="159" spans="1:15">
      <c r="A159" s="69"/>
      <c r="B159" s="137" t="s">
        <v>202</v>
      </c>
      <c r="C159" s="59" t="s">
        <v>173</v>
      </c>
      <c r="D159" s="58" t="s">
        <v>51</v>
      </c>
      <c r="E159" s="57">
        <v>1.03</v>
      </c>
      <c r="F159" s="234">
        <f>'მოცულ. რ.ბ'!W92/1000*E159</f>
        <v>8.843065E-2</v>
      </c>
      <c r="G159" s="122"/>
      <c r="H159" s="122"/>
      <c r="I159" s="122"/>
      <c r="J159" s="122"/>
      <c r="K159" s="122"/>
      <c r="L159" s="122"/>
      <c r="M159" s="122"/>
      <c r="N159" s="23"/>
      <c r="O159" s="23"/>
    </row>
    <row r="160" spans="1:15">
      <c r="A160" s="69"/>
      <c r="B160" s="131" t="s">
        <v>205</v>
      </c>
      <c r="C160" s="59" t="s">
        <v>96</v>
      </c>
      <c r="D160" s="58" t="s">
        <v>22</v>
      </c>
      <c r="E160" s="57">
        <v>101.5</v>
      </c>
      <c r="F160" s="57">
        <f>E160*F154</f>
        <v>2.1264250000000002</v>
      </c>
      <c r="G160" s="122"/>
      <c r="H160" s="122"/>
      <c r="I160" s="122"/>
      <c r="J160" s="122"/>
      <c r="K160" s="122"/>
      <c r="L160" s="122"/>
      <c r="M160" s="122"/>
      <c r="N160" s="23"/>
      <c r="O160" s="23"/>
    </row>
    <row r="161" spans="1:15" s="20" customFormat="1">
      <c r="A161" s="69"/>
      <c r="B161" s="137"/>
      <c r="C161" s="59" t="s">
        <v>210</v>
      </c>
      <c r="D161" s="58" t="s">
        <v>22</v>
      </c>
      <c r="E161" s="57">
        <v>1</v>
      </c>
      <c r="F161" s="70">
        <f>E161*F160</f>
        <v>2.1264250000000002</v>
      </c>
      <c r="G161" s="122"/>
      <c r="H161" s="122"/>
      <c r="I161" s="122"/>
      <c r="J161" s="122"/>
      <c r="K161" s="122"/>
      <c r="L161" s="122"/>
      <c r="M161" s="122"/>
      <c r="N161" s="23"/>
      <c r="O161" s="23"/>
    </row>
    <row r="162" spans="1:15">
      <c r="A162" s="69"/>
      <c r="B162" s="131" t="s">
        <v>209</v>
      </c>
      <c r="C162" s="59" t="s">
        <v>97</v>
      </c>
      <c r="D162" s="58" t="s">
        <v>22</v>
      </c>
      <c r="E162" s="57">
        <f>1.57+21.5</f>
        <v>23.07</v>
      </c>
      <c r="F162" s="57">
        <f>E162*F154</f>
        <v>0.48331650000000009</v>
      </c>
      <c r="G162" s="122"/>
      <c r="H162" s="122"/>
      <c r="I162" s="122"/>
      <c r="J162" s="122"/>
      <c r="K162" s="122"/>
      <c r="L162" s="122"/>
      <c r="M162" s="122"/>
      <c r="N162" s="23"/>
      <c r="O162" s="23"/>
    </row>
    <row r="163" spans="1:15">
      <c r="A163" s="69"/>
      <c r="B163" s="131"/>
      <c r="C163" s="146" t="s">
        <v>74</v>
      </c>
      <c r="D163" s="147" t="s">
        <v>73</v>
      </c>
      <c r="E163" s="57">
        <v>80.900000000000006</v>
      </c>
      <c r="F163" s="57">
        <f>E163*F154</f>
        <v>1.6948550000000004</v>
      </c>
      <c r="G163" s="151"/>
      <c r="H163" s="122"/>
      <c r="I163" s="122"/>
      <c r="J163" s="122"/>
      <c r="K163" s="122"/>
      <c r="L163" s="122"/>
      <c r="M163" s="122"/>
      <c r="N163" s="23"/>
      <c r="O163" s="23"/>
    </row>
    <row r="164" spans="1:15">
      <c r="A164" s="69"/>
      <c r="B164" s="132"/>
      <c r="C164" s="108" t="s">
        <v>183</v>
      </c>
      <c r="D164" s="236"/>
      <c r="E164" s="115"/>
      <c r="F164" s="115"/>
      <c r="G164" s="237"/>
      <c r="H164" s="152"/>
      <c r="I164" s="152"/>
      <c r="J164" s="152"/>
      <c r="K164" s="152"/>
      <c r="L164" s="152"/>
      <c r="M164" s="152"/>
      <c r="N164" s="23"/>
      <c r="O164" s="23"/>
    </row>
    <row r="165" spans="1:15">
      <c r="A165" s="69"/>
      <c r="B165" s="132"/>
      <c r="C165" s="56"/>
      <c r="D165" s="60"/>
      <c r="E165" s="57"/>
      <c r="F165" s="57"/>
      <c r="G165" s="122"/>
      <c r="H165" s="122"/>
      <c r="I165" s="122"/>
      <c r="J165" s="122"/>
      <c r="K165" s="122"/>
      <c r="L165" s="122"/>
      <c r="M165" s="122"/>
      <c r="N165" s="23"/>
      <c r="O165" s="23"/>
    </row>
    <row r="166" spans="1:15" ht="14">
      <c r="A166" s="69"/>
      <c r="B166" s="132"/>
      <c r="C166" s="109" t="s">
        <v>184</v>
      </c>
      <c r="D166" s="60"/>
      <c r="E166" s="57"/>
      <c r="F166" s="57"/>
      <c r="G166" s="122"/>
      <c r="H166" s="122"/>
      <c r="I166" s="122"/>
      <c r="J166" s="122"/>
      <c r="K166" s="122"/>
      <c r="L166" s="122"/>
      <c r="M166" s="122"/>
      <c r="N166" s="23"/>
      <c r="O166" s="23"/>
    </row>
    <row r="167" spans="1:15" s="80" customFormat="1" ht="28">
      <c r="A167" s="66">
        <v>16</v>
      </c>
      <c r="B167" s="134"/>
      <c r="C167" s="67" t="s">
        <v>191</v>
      </c>
      <c r="D167" s="68" t="s">
        <v>22</v>
      </c>
      <c r="E167" s="23"/>
      <c r="F167" s="227">
        <f>'მოცულ. რ.ბ'!Z47+'მოცულ. რ.ბ'!Z48</f>
        <v>6.24</v>
      </c>
      <c r="G167" s="149"/>
      <c r="H167" s="149"/>
      <c r="I167" s="149"/>
      <c r="J167" s="149"/>
      <c r="K167" s="149"/>
      <c r="L167" s="149"/>
      <c r="M167" s="149"/>
      <c r="N167" s="23">
        <f>O167/F167</f>
        <v>0</v>
      </c>
      <c r="O167" s="23">
        <f>SUM(M168:M178)</f>
        <v>0</v>
      </c>
    </row>
    <row r="168" spans="1:15">
      <c r="A168" s="69"/>
      <c r="B168" s="132" t="s">
        <v>77</v>
      </c>
      <c r="C168" s="56" t="s">
        <v>109</v>
      </c>
      <c r="D168" s="60" t="s">
        <v>54</v>
      </c>
      <c r="E168" s="57"/>
      <c r="F168" s="57">
        <f>F167/100</f>
        <v>6.2400000000000004E-2</v>
      </c>
      <c r="G168" s="122"/>
      <c r="H168" s="122"/>
      <c r="I168" s="122"/>
      <c r="J168" s="122"/>
      <c r="K168" s="122"/>
      <c r="L168" s="122"/>
      <c r="M168" s="122"/>
      <c r="N168" s="23"/>
      <c r="O168" s="23"/>
    </row>
    <row r="169" spans="1:15">
      <c r="A169" s="69"/>
      <c r="B169" s="136" t="s">
        <v>59</v>
      </c>
      <c r="C169" s="56" t="s">
        <v>49</v>
      </c>
      <c r="D169" s="22" t="s">
        <v>22</v>
      </c>
      <c r="E169" s="57">
        <v>100</v>
      </c>
      <c r="F169" s="57">
        <f>E169*F168</f>
        <v>6.24</v>
      </c>
      <c r="G169" s="122"/>
      <c r="H169" s="122"/>
      <c r="I169" s="122"/>
      <c r="J169" s="122"/>
      <c r="K169" s="122"/>
      <c r="L169" s="122"/>
      <c r="M169" s="122"/>
      <c r="N169" s="23"/>
      <c r="O169" s="23"/>
    </row>
    <row r="170" spans="1:15">
      <c r="A170" s="69"/>
      <c r="B170" s="132"/>
      <c r="C170" s="56" t="s">
        <v>72</v>
      </c>
      <c r="D170" s="60" t="s">
        <v>73</v>
      </c>
      <c r="E170" s="57">
        <v>336</v>
      </c>
      <c r="F170" s="57">
        <f>E170*F168</f>
        <v>20.9664</v>
      </c>
      <c r="G170" s="122"/>
      <c r="H170" s="122"/>
      <c r="I170" s="122"/>
      <c r="J170" s="122"/>
      <c r="K170" s="122"/>
      <c r="L170" s="122"/>
      <c r="M170" s="122"/>
      <c r="N170" s="23"/>
      <c r="O170" s="23"/>
    </row>
    <row r="171" spans="1:15">
      <c r="A171" s="69"/>
      <c r="B171" s="137" t="s">
        <v>202</v>
      </c>
      <c r="C171" s="59" t="s">
        <v>172</v>
      </c>
      <c r="D171" s="58" t="s">
        <v>51</v>
      </c>
      <c r="E171" s="57">
        <v>1.03</v>
      </c>
      <c r="F171" s="234">
        <f>('მოცულ. რ.ბ'!Y47+'მოცულ. რ.ბ'!Y48)/1000*E171</f>
        <v>0.40553160000000005</v>
      </c>
      <c r="G171" s="122"/>
      <c r="H171" s="122"/>
      <c r="I171" s="122"/>
      <c r="J171" s="122"/>
      <c r="K171" s="122"/>
      <c r="L171" s="122"/>
      <c r="M171" s="122"/>
      <c r="N171" s="23"/>
      <c r="O171" s="23"/>
    </row>
    <row r="172" spans="1:15">
      <c r="A172" s="69"/>
      <c r="B172" s="137" t="s">
        <v>202</v>
      </c>
      <c r="C172" s="59" t="s">
        <v>173</v>
      </c>
      <c r="D172" s="58" t="s">
        <v>51</v>
      </c>
      <c r="E172" s="57">
        <v>1.03</v>
      </c>
      <c r="F172" s="234">
        <f>('მოცულ. რ.ბ'!W47+'მოცულ. რ.ბ'!W48)/1000*E172</f>
        <v>1.2977382000000002</v>
      </c>
      <c r="G172" s="122"/>
      <c r="H172" s="122"/>
      <c r="I172" s="122"/>
      <c r="J172" s="122"/>
      <c r="K172" s="122"/>
      <c r="L172" s="122"/>
      <c r="M172" s="122"/>
      <c r="N172" s="23"/>
      <c r="O172" s="23"/>
    </row>
    <row r="173" spans="1:15" s="84" customFormat="1">
      <c r="A173" s="81"/>
      <c r="B173" s="131" t="s">
        <v>203</v>
      </c>
      <c r="C173" s="62" t="s">
        <v>95</v>
      </c>
      <c r="D173" s="82" t="s">
        <v>63</v>
      </c>
      <c r="E173" s="57">
        <v>150</v>
      </c>
      <c r="F173" s="57">
        <f>E173*F168</f>
        <v>9.3600000000000012</v>
      </c>
      <c r="G173" s="122"/>
      <c r="H173" s="122"/>
      <c r="I173" s="122"/>
      <c r="J173" s="122"/>
      <c r="K173" s="122"/>
      <c r="L173" s="122"/>
      <c r="M173" s="122"/>
      <c r="N173" s="83"/>
      <c r="O173" s="83"/>
    </row>
    <row r="174" spans="1:15">
      <c r="A174" s="69"/>
      <c r="B174" s="131" t="s">
        <v>205</v>
      </c>
      <c r="C174" s="59" t="s">
        <v>96</v>
      </c>
      <c r="D174" s="58" t="s">
        <v>22</v>
      </c>
      <c r="E174" s="57">
        <v>101.5</v>
      </c>
      <c r="F174" s="57">
        <f>E174*F168</f>
        <v>6.3336000000000006</v>
      </c>
      <c r="G174" s="122"/>
      <c r="H174" s="122"/>
      <c r="I174" s="122"/>
      <c r="J174" s="122"/>
      <c r="K174" s="122"/>
      <c r="L174" s="122"/>
      <c r="M174" s="122"/>
      <c r="N174" s="23"/>
      <c r="O174" s="23"/>
    </row>
    <row r="175" spans="1:15" s="20" customFormat="1">
      <c r="A175" s="69"/>
      <c r="B175" s="137"/>
      <c r="C175" s="59" t="s">
        <v>210</v>
      </c>
      <c r="D175" s="58" t="s">
        <v>22</v>
      </c>
      <c r="E175" s="57">
        <v>1</v>
      </c>
      <c r="F175" s="70">
        <f>E175*F174</f>
        <v>6.3336000000000006</v>
      </c>
      <c r="G175" s="122"/>
      <c r="H175" s="122"/>
      <c r="I175" s="122"/>
      <c r="J175" s="122"/>
      <c r="K175" s="122"/>
      <c r="L175" s="122"/>
      <c r="M175" s="122"/>
      <c r="N175" s="23"/>
      <c r="O175" s="23"/>
    </row>
    <row r="176" spans="1:15">
      <c r="A176" s="69"/>
      <c r="B176" s="131" t="s">
        <v>209</v>
      </c>
      <c r="C176" s="59" t="s">
        <v>97</v>
      </c>
      <c r="D176" s="58" t="s">
        <v>22</v>
      </c>
      <c r="E176" s="57">
        <f>5.81+0.67</f>
        <v>6.4799999999999995</v>
      </c>
      <c r="F176" s="57">
        <f>E176*F168</f>
        <v>0.40435199999999999</v>
      </c>
      <c r="G176" s="122"/>
      <c r="H176" s="122"/>
      <c r="I176" s="122"/>
      <c r="J176" s="122"/>
      <c r="K176" s="122"/>
      <c r="L176" s="122"/>
      <c r="M176" s="122"/>
      <c r="N176" s="23"/>
      <c r="O176" s="23"/>
    </row>
    <row r="177" spans="1:15">
      <c r="A177" s="69"/>
      <c r="B177" s="131" t="s">
        <v>207</v>
      </c>
      <c r="C177" s="59" t="s">
        <v>98</v>
      </c>
      <c r="D177" s="58" t="s">
        <v>23</v>
      </c>
      <c r="E177" s="57">
        <v>242</v>
      </c>
      <c r="F177" s="57">
        <f>E177*F168</f>
        <v>15.100800000000001</v>
      </c>
      <c r="G177" s="122"/>
      <c r="H177" s="122"/>
      <c r="I177" s="122"/>
      <c r="J177" s="122"/>
      <c r="K177" s="122"/>
      <c r="L177" s="122"/>
      <c r="M177" s="122"/>
      <c r="N177" s="23"/>
      <c r="O177" s="23"/>
    </row>
    <row r="178" spans="1:15">
      <c r="A178" s="69"/>
      <c r="B178" s="131"/>
      <c r="C178" s="146" t="s">
        <v>74</v>
      </c>
      <c r="D178" s="147" t="s">
        <v>73</v>
      </c>
      <c r="E178" s="57">
        <v>60</v>
      </c>
      <c r="F178" s="57">
        <f>E178*F168</f>
        <v>3.7440000000000002</v>
      </c>
      <c r="G178" s="151"/>
      <c r="H178" s="122"/>
      <c r="I178" s="122"/>
      <c r="J178" s="122"/>
      <c r="K178" s="122"/>
      <c r="L178" s="122"/>
      <c r="M178" s="122"/>
      <c r="N178" s="23"/>
      <c r="O178" s="23"/>
    </row>
    <row r="179" spans="1:15" s="80" customFormat="1" ht="28">
      <c r="A179" s="66">
        <v>17</v>
      </c>
      <c r="B179" s="134"/>
      <c r="C179" s="67" t="s">
        <v>190</v>
      </c>
      <c r="D179" s="68" t="s">
        <v>22</v>
      </c>
      <c r="E179" s="23"/>
      <c r="F179" s="227">
        <f>'მოცულ. რ.ბ'!Z52</f>
        <v>4.55</v>
      </c>
      <c r="G179" s="149"/>
      <c r="H179" s="149"/>
      <c r="I179" s="149"/>
      <c r="J179" s="149"/>
      <c r="K179" s="149"/>
      <c r="L179" s="149"/>
      <c r="M179" s="149"/>
      <c r="N179" s="23">
        <f>O179/F179</f>
        <v>0</v>
      </c>
      <c r="O179" s="23">
        <f>SUM(M180:M190)</f>
        <v>0</v>
      </c>
    </row>
    <row r="180" spans="1:15">
      <c r="A180" s="69"/>
      <c r="B180" s="132" t="s">
        <v>106</v>
      </c>
      <c r="C180" s="56"/>
      <c r="D180" s="60" t="s">
        <v>54</v>
      </c>
      <c r="E180" s="57"/>
      <c r="F180" s="70">
        <f>F179/100</f>
        <v>4.5499999999999999E-2</v>
      </c>
      <c r="G180" s="122"/>
      <c r="H180" s="122"/>
      <c r="I180" s="122"/>
      <c r="J180" s="122"/>
      <c r="K180" s="122"/>
      <c r="L180" s="122"/>
      <c r="M180" s="122"/>
      <c r="N180" s="23"/>
      <c r="O180" s="23"/>
    </row>
    <row r="181" spans="1:15">
      <c r="A181" s="69"/>
      <c r="B181" s="136" t="s">
        <v>59</v>
      </c>
      <c r="C181" s="56" t="s">
        <v>49</v>
      </c>
      <c r="D181" s="22" t="s">
        <v>22</v>
      </c>
      <c r="E181" s="57">
        <v>100</v>
      </c>
      <c r="F181" s="57">
        <f>E181*F180</f>
        <v>4.55</v>
      </c>
      <c r="G181" s="122"/>
      <c r="H181" s="122"/>
      <c r="I181" s="122"/>
      <c r="J181" s="122"/>
      <c r="K181" s="122"/>
      <c r="L181" s="122"/>
      <c r="M181" s="122"/>
      <c r="N181" s="23"/>
      <c r="O181" s="23"/>
    </row>
    <row r="182" spans="1:15">
      <c r="A182" s="69"/>
      <c r="B182" s="132"/>
      <c r="C182" s="56" t="s">
        <v>72</v>
      </c>
      <c r="D182" s="60" t="s">
        <v>73</v>
      </c>
      <c r="E182" s="57">
        <v>110</v>
      </c>
      <c r="F182" s="57">
        <f>E182*F180</f>
        <v>5.0049999999999999</v>
      </c>
      <c r="G182" s="122"/>
      <c r="H182" s="122"/>
      <c r="I182" s="122"/>
      <c r="J182" s="122"/>
      <c r="K182" s="122"/>
      <c r="L182" s="122"/>
      <c r="M182" s="122"/>
      <c r="N182" s="23"/>
      <c r="O182" s="23"/>
    </row>
    <row r="183" spans="1:15">
      <c r="A183" s="69"/>
      <c r="B183" s="137" t="s">
        <v>202</v>
      </c>
      <c r="C183" s="59" t="s">
        <v>172</v>
      </c>
      <c r="D183" s="58" t="s">
        <v>51</v>
      </c>
      <c r="E183" s="57">
        <v>1.03</v>
      </c>
      <c r="F183" s="234">
        <f>'მოცულ. რ.ბ'!Y52/1000*E183</f>
        <v>1.64079E-2</v>
      </c>
      <c r="G183" s="122"/>
      <c r="H183" s="122"/>
      <c r="I183" s="122"/>
      <c r="J183" s="122"/>
      <c r="K183" s="122"/>
      <c r="L183" s="122"/>
      <c r="M183" s="122"/>
      <c r="N183" s="23"/>
      <c r="O183" s="23"/>
    </row>
    <row r="184" spans="1:15">
      <c r="A184" s="69"/>
      <c r="B184" s="137" t="s">
        <v>202</v>
      </c>
      <c r="C184" s="59" t="s">
        <v>173</v>
      </c>
      <c r="D184" s="58" t="s">
        <v>51</v>
      </c>
      <c r="E184" s="57">
        <v>1.03</v>
      </c>
      <c r="F184" s="234">
        <f>'მოცულ. რ.ბ'!W52/1000*E184</f>
        <v>0.37166520000000003</v>
      </c>
      <c r="G184" s="122"/>
      <c r="H184" s="122"/>
      <c r="I184" s="122"/>
      <c r="J184" s="122"/>
      <c r="K184" s="122"/>
      <c r="L184" s="122"/>
      <c r="M184" s="122"/>
      <c r="N184" s="23"/>
      <c r="O184" s="23"/>
    </row>
    <row r="185" spans="1:15">
      <c r="A185" s="69"/>
      <c r="B185" s="131" t="s">
        <v>203</v>
      </c>
      <c r="C185" s="62" t="s">
        <v>95</v>
      </c>
      <c r="D185" s="61" t="s">
        <v>63</v>
      </c>
      <c r="E185" s="57">
        <v>100</v>
      </c>
      <c r="F185" s="57">
        <f>E185*F180</f>
        <v>4.55</v>
      </c>
      <c r="G185" s="122"/>
      <c r="H185" s="122"/>
      <c r="I185" s="122"/>
      <c r="J185" s="122"/>
      <c r="K185" s="122"/>
      <c r="L185" s="122"/>
      <c r="M185" s="122"/>
      <c r="N185" s="23"/>
      <c r="O185" s="23"/>
    </row>
    <row r="186" spans="1:15">
      <c r="A186" s="69"/>
      <c r="B186" s="131" t="s">
        <v>205</v>
      </c>
      <c r="C186" s="59" t="s">
        <v>96</v>
      </c>
      <c r="D186" s="58" t="s">
        <v>22</v>
      </c>
      <c r="E186" s="57">
        <v>101.5</v>
      </c>
      <c r="F186" s="57">
        <f>E186*F180</f>
        <v>4.6182499999999997</v>
      </c>
      <c r="G186" s="122"/>
      <c r="H186" s="122"/>
      <c r="I186" s="122"/>
      <c r="J186" s="122"/>
      <c r="K186" s="122"/>
      <c r="L186" s="122"/>
      <c r="M186" s="122"/>
      <c r="N186" s="23"/>
      <c r="O186" s="23"/>
    </row>
    <row r="187" spans="1:15" s="20" customFormat="1">
      <c r="A187" s="69"/>
      <c r="B187" s="137"/>
      <c r="C187" s="59" t="s">
        <v>210</v>
      </c>
      <c r="D187" s="58" t="s">
        <v>22</v>
      </c>
      <c r="E187" s="57">
        <v>1</v>
      </c>
      <c r="F187" s="70">
        <f>E187*F186</f>
        <v>4.6182499999999997</v>
      </c>
      <c r="G187" s="122"/>
      <c r="H187" s="122"/>
      <c r="I187" s="122"/>
      <c r="J187" s="122"/>
      <c r="K187" s="122"/>
      <c r="L187" s="122"/>
      <c r="M187" s="122"/>
      <c r="N187" s="23"/>
      <c r="O187" s="23"/>
    </row>
    <row r="188" spans="1:15">
      <c r="A188" s="69"/>
      <c r="B188" s="131" t="s">
        <v>209</v>
      </c>
      <c r="C188" s="59" t="s">
        <v>97</v>
      </c>
      <c r="D188" s="58" t="s">
        <v>22</v>
      </c>
      <c r="E188" s="57">
        <f>3.91+0.34</f>
        <v>4.25</v>
      </c>
      <c r="F188" s="57">
        <f>E188*F180</f>
        <v>0.19337499999999999</v>
      </c>
      <c r="G188" s="122"/>
      <c r="H188" s="122"/>
      <c r="I188" s="122"/>
      <c r="J188" s="122"/>
      <c r="K188" s="122"/>
      <c r="L188" s="122"/>
      <c r="M188" s="122"/>
      <c r="N188" s="23"/>
      <c r="O188" s="23"/>
    </row>
    <row r="189" spans="1:15">
      <c r="A189" s="69"/>
      <c r="B189" s="131" t="s">
        <v>207</v>
      </c>
      <c r="C189" s="59" t="s">
        <v>98</v>
      </c>
      <c r="D189" s="58" t="s">
        <v>23</v>
      </c>
      <c r="E189" s="57">
        <v>184</v>
      </c>
      <c r="F189" s="57">
        <f>E189*F180</f>
        <v>8.3719999999999999</v>
      </c>
      <c r="G189" s="122"/>
      <c r="H189" s="122"/>
      <c r="I189" s="122"/>
      <c r="J189" s="122"/>
      <c r="K189" s="122"/>
      <c r="L189" s="122"/>
      <c r="M189" s="122"/>
      <c r="N189" s="23"/>
      <c r="O189" s="23"/>
    </row>
    <row r="190" spans="1:15">
      <c r="A190" s="69"/>
      <c r="B190" s="131"/>
      <c r="C190" s="146" t="s">
        <v>74</v>
      </c>
      <c r="D190" s="147" t="s">
        <v>73</v>
      </c>
      <c r="E190" s="57">
        <v>46</v>
      </c>
      <c r="F190" s="57">
        <f>E190*F180</f>
        <v>2.093</v>
      </c>
      <c r="G190" s="151"/>
      <c r="H190" s="122"/>
      <c r="I190" s="122"/>
      <c r="J190" s="122"/>
      <c r="K190" s="122"/>
      <c r="L190" s="122"/>
      <c r="M190" s="122"/>
      <c r="N190" s="23"/>
      <c r="O190" s="23"/>
    </row>
    <row r="191" spans="1:15" s="80" customFormat="1" ht="28">
      <c r="A191" s="66">
        <v>18</v>
      </c>
      <c r="B191" s="134"/>
      <c r="C191" s="67" t="s">
        <v>110</v>
      </c>
      <c r="D191" s="68" t="s">
        <v>22</v>
      </c>
      <c r="E191" s="23"/>
      <c r="F191" s="227">
        <f>'მოცულ. რ.ბ'!Z74</f>
        <v>16.96</v>
      </c>
      <c r="G191" s="149"/>
      <c r="H191" s="149"/>
      <c r="I191" s="149"/>
      <c r="J191" s="149"/>
      <c r="K191" s="149"/>
      <c r="L191" s="149"/>
      <c r="M191" s="149"/>
      <c r="N191" s="23">
        <f>O191/F191</f>
        <v>0</v>
      </c>
      <c r="O191" s="23">
        <f>SUM(M193:M203)</f>
        <v>0</v>
      </c>
    </row>
    <row r="192" spans="1:15">
      <c r="A192" s="69"/>
      <c r="B192" s="132"/>
      <c r="C192" s="56"/>
      <c r="D192" s="22"/>
      <c r="E192" s="57"/>
      <c r="F192" s="57"/>
      <c r="G192" s="122"/>
      <c r="H192" s="122"/>
      <c r="I192" s="122"/>
      <c r="J192" s="122"/>
      <c r="K192" s="122"/>
      <c r="L192" s="122"/>
      <c r="M192" s="122"/>
      <c r="N192" s="23"/>
      <c r="O192" s="23"/>
    </row>
    <row r="193" spans="1:15">
      <c r="A193" s="69"/>
      <c r="B193" s="132" t="s">
        <v>78</v>
      </c>
      <c r="C193" s="56" t="s">
        <v>79</v>
      </c>
      <c r="D193" s="60" t="s">
        <v>54</v>
      </c>
      <c r="E193" s="57"/>
      <c r="F193" s="57">
        <f>F191/100</f>
        <v>0.1696</v>
      </c>
      <c r="G193" s="122"/>
      <c r="H193" s="122"/>
      <c r="I193" s="122"/>
      <c r="J193" s="122"/>
      <c r="K193" s="122"/>
      <c r="L193" s="122"/>
      <c r="M193" s="122"/>
      <c r="N193" s="23"/>
      <c r="O193" s="23"/>
    </row>
    <row r="194" spans="1:15">
      <c r="A194" s="69"/>
      <c r="B194" s="136" t="s">
        <v>59</v>
      </c>
      <c r="C194" s="56" t="s">
        <v>49</v>
      </c>
      <c r="D194" s="22" t="s">
        <v>22</v>
      </c>
      <c r="E194" s="57">
        <v>100</v>
      </c>
      <c r="F194" s="57">
        <f>E194*F193</f>
        <v>16.96</v>
      </c>
      <c r="G194" s="122"/>
      <c r="H194" s="122"/>
      <c r="I194" s="122"/>
      <c r="J194" s="122"/>
      <c r="K194" s="122"/>
      <c r="L194" s="122"/>
      <c r="M194" s="122"/>
      <c r="N194" s="23"/>
      <c r="O194" s="23"/>
    </row>
    <row r="195" spans="1:15">
      <c r="A195" s="69"/>
      <c r="B195" s="132"/>
      <c r="C195" s="56" t="s">
        <v>72</v>
      </c>
      <c r="D195" s="60" t="s">
        <v>73</v>
      </c>
      <c r="E195" s="57">
        <v>121</v>
      </c>
      <c r="F195" s="57">
        <f>E195*F193</f>
        <v>20.521599999999999</v>
      </c>
      <c r="G195" s="122"/>
      <c r="H195" s="122"/>
      <c r="I195" s="122"/>
      <c r="J195" s="122"/>
      <c r="K195" s="122"/>
      <c r="L195" s="122"/>
      <c r="M195" s="122"/>
      <c r="N195" s="23"/>
      <c r="O195" s="23"/>
    </row>
    <row r="196" spans="1:15">
      <c r="A196" s="69"/>
      <c r="B196" s="137" t="s">
        <v>202</v>
      </c>
      <c r="C196" s="59" t="s">
        <v>172</v>
      </c>
      <c r="D196" s="58" t="s">
        <v>51</v>
      </c>
      <c r="E196" s="57">
        <v>1.03</v>
      </c>
      <c r="F196" s="234">
        <f>'მოცულ. რ.ბ'!Y74/1000*E196</f>
        <v>1.2034417000000002</v>
      </c>
      <c r="G196" s="122"/>
      <c r="H196" s="122"/>
      <c r="I196" s="122"/>
      <c r="J196" s="122"/>
      <c r="K196" s="122"/>
      <c r="L196" s="122"/>
      <c r="M196" s="122"/>
      <c r="N196" s="23"/>
      <c r="O196" s="23"/>
    </row>
    <row r="197" spans="1:15">
      <c r="A197" s="69"/>
      <c r="B197" s="137" t="s">
        <v>202</v>
      </c>
      <c r="C197" s="59" t="s">
        <v>173</v>
      </c>
      <c r="D197" s="58" t="s">
        <v>51</v>
      </c>
      <c r="E197" s="57">
        <v>1.03</v>
      </c>
      <c r="F197" s="234">
        <f>'მოცულ. რ.ბ'!W74/1000*E197</f>
        <v>2.3707921999999999</v>
      </c>
      <c r="G197" s="122"/>
      <c r="H197" s="122"/>
      <c r="I197" s="122"/>
      <c r="J197" s="122"/>
      <c r="K197" s="122"/>
      <c r="L197" s="122"/>
      <c r="M197" s="122"/>
      <c r="N197" s="23"/>
      <c r="O197" s="23"/>
    </row>
    <row r="198" spans="1:15" s="84" customFormat="1">
      <c r="A198" s="81"/>
      <c r="B198" s="131" t="s">
        <v>203</v>
      </c>
      <c r="C198" s="62" t="s">
        <v>95</v>
      </c>
      <c r="D198" s="82" t="s">
        <v>63</v>
      </c>
      <c r="E198" s="57">
        <v>330</v>
      </c>
      <c r="F198" s="57">
        <f>E198*F193</f>
        <v>55.968000000000004</v>
      </c>
      <c r="G198" s="122"/>
      <c r="H198" s="122"/>
      <c r="I198" s="122"/>
      <c r="J198" s="122"/>
      <c r="K198" s="122"/>
      <c r="L198" s="122"/>
      <c r="M198" s="122"/>
      <c r="N198" s="83"/>
      <c r="O198" s="83"/>
    </row>
    <row r="199" spans="1:15">
      <c r="A199" s="69"/>
      <c r="B199" s="131" t="s">
        <v>205</v>
      </c>
      <c r="C199" s="59" t="s">
        <v>96</v>
      </c>
      <c r="D199" s="58" t="s">
        <v>22</v>
      </c>
      <c r="E199" s="57">
        <v>100</v>
      </c>
      <c r="F199" s="57">
        <f>E199*F193</f>
        <v>16.96</v>
      </c>
      <c r="G199" s="122"/>
      <c r="H199" s="122"/>
      <c r="I199" s="122"/>
      <c r="J199" s="122"/>
      <c r="K199" s="122"/>
      <c r="L199" s="122"/>
      <c r="M199" s="122"/>
      <c r="N199" s="23"/>
      <c r="O199" s="23"/>
    </row>
    <row r="200" spans="1:15" s="20" customFormat="1">
      <c r="A200" s="69"/>
      <c r="B200" s="137"/>
      <c r="C200" s="59" t="s">
        <v>210</v>
      </c>
      <c r="D200" s="58" t="s">
        <v>22</v>
      </c>
      <c r="E200" s="57">
        <v>1</v>
      </c>
      <c r="F200" s="70">
        <f>E200*F199</f>
        <v>16.96</v>
      </c>
      <c r="G200" s="122"/>
      <c r="H200" s="122"/>
      <c r="I200" s="122"/>
      <c r="J200" s="122"/>
      <c r="K200" s="122"/>
      <c r="L200" s="122"/>
      <c r="M200" s="122"/>
      <c r="N200" s="23"/>
      <c r="O200" s="23"/>
    </row>
    <row r="201" spans="1:15">
      <c r="A201" s="69"/>
      <c r="B201" s="131" t="s">
        <v>209</v>
      </c>
      <c r="C201" s="59" t="s">
        <v>97</v>
      </c>
      <c r="D201" s="58" t="s">
        <v>22</v>
      </c>
      <c r="E201" s="57">
        <f>1.6+0.7</f>
        <v>2.2999999999999998</v>
      </c>
      <c r="F201" s="57">
        <f>E201*F193</f>
        <v>0.39007999999999998</v>
      </c>
      <c r="G201" s="122"/>
      <c r="H201" s="122"/>
      <c r="I201" s="122"/>
      <c r="J201" s="122"/>
      <c r="K201" s="122"/>
      <c r="L201" s="122"/>
      <c r="M201" s="122"/>
      <c r="N201" s="23"/>
      <c r="O201" s="23"/>
    </row>
    <row r="202" spans="1:15">
      <c r="A202" s="69"/>
      <c r="B202" s="131" t="s">
        <v>207</v>
      </c>
      <c r="C202" s="59" t="s">
        <v>98</v>
      </c>
      <c r="D202" s="58" t="s">
        <v>23</v>
      </c>
      <c r="E202" s="57">
        <v>246</v>
      </c>
      <c r="F202" s="57">
        <f>E202*F193</f>
        <v>41.721600000000002</v>
      </c>
      <c r="G202" s="122"/>
      <c r="H202" s="122"/>
      <c r="I202" s="122"/>
      <c r="J202" s="122"/>
      <c r="K202" s="122"/>
      <c r="L202" s="122"/>
      <c r="M202" s="122"/>
      <c r="N202" s="23"/>
      <c r="O202" s="23"/>
    </row>
    <row r="203" spans="1:15">
      <c r="A203" s="69"/>
      <c r="B203" s="131"/>
      <c r="C203" s="146" t="s">
        <v>74</v>
      </c>
      <c r="D203" s="147" t="s">
        <v>73</v>
      </c>
      <c r="E203" s="57">
        <v>90</v>
      </c>
      <c r="F203" s="57">
        <f>E203*F193</f>
        <v>15.263999999999999</v>
      </c>
      <c r="G203" s="151"/>
      <c r="H203" s="122"/>
      <c r="I203" s="122"/>
      <c r="J203" s="122"/>
      <c r="K203" s="122"/>
      <c r="L203" s="122"/>
      <c r="M203" s="122"/>
      <c r="N203" s="23"/>
      <c r="O203" s="23"/>
    </row>
    <row r="204" spans="1:15" s="80" customFormat="1" ht="28">
      <c r="A204" s="66">
        <v>19</v>
      </c>
      <c r="B204" s="134"/>
      <c r="C204" s="67" t="s">
        <v>178</v>
      </c>
      <c r="D204" s="68" t="s">
        <v>22</v>
      </c>
      <c r="E204" s="23"/>
      <c r="F204" s="227">
        <f>'მოცულ. რ.ბ'!Z75</f>
        <v>41.12</v>
      </c>
      <c r="G204" s="149"/>
      <c r="H204" s="149"/>
      <c r="I204" s="149"/>
      <c r="J204" s="149"/>
      <c r="K204" s="149"/>
      <c r="L204" s="149"/>
      <c r="M204" s="149"/>
      <c r="N204" s="23">
        <f>O204/F204</f>
        <v>0</v>
      </c>
      <c r="O204" s="23">
        <f>SUM(M205:M214)</f>
        <v>0</v>
      </c>
    </row>
    <row r="205" spans="1:15">
      <c r="A205" s="69"/>
      <c r="B205" s="132" t="s">
        <v>80</v>
      </c>
      <c r="C205" s="56" t="s">
        <v>82</v>
      </c>
      <c r="D205" s="60" t="s">
        <v>54</v>
      </c>
      <c r="E205" s="57"/>
      <c r="F205" s="57">
        <f>F204/100</f>
        <v>0.41119999999999995</v>
      </c>
      <c r="G205" s="122"/>
      <c r="H205" s="122"/>
      <c r="I205" s="122"/>
      <c r="J205" s="122"/>
      <c r="K205" s="122"/>
      <c r="L205" s="122"/>
      <c r="M205" s="122"/>
      <c r="N205" s="57"/>
      <c r="O205" s="57"/>
    </row>
    <row r="206" spans="1:15">
      <c r="A206" s="69"/>
      <c r="B206" s="136" t="s">
        <v>59</v>
      </c>
      <c r="C206" s="56" t="s">
        <v>49</v>
      </c>
      <c r="D206" s="22" t="s">
        <v>22</v>
      </c>
      <c r="E206" s="57">
        <v>100</v>
      </c>
      <c r="F206" s="57">
        <f>E206*F205</f>
        <v>41.12</v>
      </c>
      <c r="G206" s="122"/>
      <c r="H206" s="122"/>
      <c r="I206" s="122"/>
      <c r="J206" s="122"/>
      <c r="K206" s="122"/>
      <c r="L206" s="122"/>
      <c r="M206" s="122"/>
      <c r="N206" s="57"/>
      <c r="O206" s="57"/>
    </row>
    <row r="207" spans="1:15">
      <c r="A207" s="69"/>
      <c r="B207" s="132"/>
      <c r="C207" s="56" t="s">
        <v>72</v>
      </c>
      <c r="D207" s="60" t="s">
        <v>73</v>
      </c>
      <c r="E207" s="57">
        <v>81</v>
      </c>
      <c r="F207" s="57">
        <f>E207*F205</f>
        <v>33.307199999999995</v>
      </c>
      <c r="G207" s="122"/>
      <c r="H207" s="122"/>
      <c r="I207" s="122"/>
      <c r="J207" s="122"/>
      <c r="K207" s="122"/>
      <c r="L207" s="122"/>
      <c r="M207" s="122"/>
      <c r="N207" s="57"/>
      <c r="O207" s="57"/>
    </row>
    <row r="208" spans="1:15">
      <c r="A208" s="69"/>
      <c r="B208" s="137" t="s">
        <v>202</v>
      </c>
      <c r="C208" s="59" t="s">
        <v>172</v>
      </c>
      <c r="D208" s="58" t="s">
        <v>51</v>
      </c>
      <c r="E208" s="57">
        <v>1.03</v>
      </c>
      <c r="F208" s="234">
        <f>E208*('მოცულ. რ.ბ'!Y75)/1000</f>
        <v>0.1048849</v>
      </c>
      <c r="G208" s="122"/>
      <c r="H208" s="122"/>
      <c r="I208" s="122"/>
      <c r="J208" s="122"/>
      <c r="K208" s="122"/>
      <c r="L208" s="122"/>
      <c r="M208" s="122"/>
      <c r="N208" s="57"/>
      <c r="O208" s="57"/>
    </row>
    <row r="209" spans="1:15">
      <c r="A209" s="69"/>
      <c r="B209" s="137" t="s">
        <v>202</v>
      </c>
      <c r="C209" s="59" t="s">
        <v>173</v>
      </c>
      <c r="D209" s="58" t="s">
        <v>51</v>
      </c>
      <c r="E209" s="57">
        <v>1.03</v>
      </c>
      <c r="F209" s="234">
        <f>E209*('მოცულ. რ.ბ'!W75)/1000</f>
        <v>3.8562891000000006</v>
      </c>
      <c r="G209" s="122"/>
      <c r="H209" s="122"/>
      <c r="I209" s="122"/>
      <c r="J209" s="122"/>
      <c r="K209" s="122"/>
      <c r="L209" s="122"/>
      <c r="M209" s="122"/>
      <c r="N209" s="57"/>
      <c r="O209" s="57"/>
    </row>
    <row r="210" spans="1:15">
      <c r="A210" s="69"/>
      <c r="B210" s="131" t="s">
        <v>205</v>
      </c>
      <c r="C210" s="59" t="s">
        <v>96</v>
      </c>
      <c r="D210" s="58" t="s">
        <v>22</v>
      </c>
      <c r="E210" s="57">
        <v>101.5</v>
      </c>
      <c r="F210" s="57">
        <f>E210*F205</f>
        <v>41.736799999999995</v>
      </c>
      <c r="G210" s="122"/>
      <c r="H210" s="122"/>
      <c r="I210" s="122"/>
      <c r="J210" s="122"/>
      <c r="K210" s="122"/>
      <c r="L210" s="122"/>
      <c r="M210" s="122"/>
      <c r="N210" s="57"/>
      <c r="O210" s="57"/>
    </row>
    <row r="211" spans="1:15" s="20" customFormat="1">
      <c r="A211" s="69"/>
      <c r="B211" s="137"/>
      <c r="C211" s="59" t="s">
        <v>210</v>
      </c>
      <c r="D211" s="58" t="s">
        <v>22</v>
      </c>
      <c r="E211" s="57">
        <v>1</v>
      </c>
      <c r="F211" s="70">
        <f>E211*F210</f>
        <v>41.736799999999995</v>
      </c>
      <c r="G211" s="122"/>
      <c r="H211" s="122"/>
      <c r="I211" s="122"/>
      <c r="J211" s="122"/>
      <c r="K211" s="122"/>
      <c r="L211" s="122"/>
      <c r="M211" s="122"/>
      <c r="N211" s="23"/>
      <c r="O211" s="23"/>
    </row>
    <row r="212" spans="1:15">
      <c r="A212" s="69"/>
      <c r="B212" s="131" t="s">
        <v>209</v>
      </c>
      <c r="C212" s="59" t="s">
        <v>97</v>
      </c>
      <c r="D212" s="58" t="s">
        <v>22</v>
      </c>
      <c r="E212" s="57">
        <v>3.66</v>
      </c>
      <c r="F212" s="57">
        <f>E212*F205</f>
        <v>1.5049919999999999</v>
      </c>
      <c r="G212" s="122"/>
      <c r="H212" s="122"/>
      <c r="I212" s="122"/>
      <c r="J212" s="122"/>
      <c r="K212" s="122"/>
      <c r="L212" s="122"/>
      <c r="M212" s="122"/>
      <c r="N212" s="57"/>
      <c r="O212" s="57"/>
    </row>
    <row r="213" spans="1:15">
      <c r="A213" s="69"/>
      <c r="B213" s="131" t="s">
        <v>207</v>
      </c>
      <c r="C213" s="59" t="s">
        <v>98</v>
      </c>
      <c r="D213" s="58" t="s">
        <v>23</v>
      </c>
      <c r="E213" s="57">
        <v>137</v>
      </c>
      <c r="F213" s="57">
        <f>E213*F205</f>
        <v>56.334399999999995</v>
      </c>
      <c r="G213" s="122"/>
      <c r="H213" s="122"/>
      <c r="I213" s="122"/>
      <c r="J213" s="122"/>
      <c r="K213" s="122"/>
      <c r="L213" s="122"/>
      <c r="M213" s="122"/>
      <c r="N213" s="57"/>
      <c r="O213" s="57"/>
    </row>
    <row r="214" spans="1:15">
      <c r="A214" s="69"/>
      <c r="B214" s="131"/>
      <c r="C214" s="146" t="s">
        <v>74</v>
      </c>
      <c r="D214" s="147" t="s">
        <v>73</v>
      </c>
      <c r="E214" s="57">
        <v>39</v>
      </c>
      <c r="F214" s="57">
        <f>E214*F205</f>
        <v>16.036799999999999</v>
      </c>
      <c r="G214" s="151"/>
      <c r="H214" s="122"/>
      <c r="I214" s="122"/>
      <c r="J214" s="122"/>
      <c r="K214" s="122"/>
      <c r="L214" s="122"/>
      <c r="M214" s="122"/>
      <c r="N214" s="57"/>
      <c r="O214" s="57"/>
    </row>
    <row r="215" spans="1:15" s="80" customFormat="1" ht="38.25" customHeight="1">
      <c r="A215" s="66">
        <v>20</v>
      </c>
      <c r="B215" s="139"/>
      <c r="C215" s="85" t="s">
        <v>196</v>
      </c>
      <c r="D215" s="86" t="s">
        <v>22</v>
      </c>
      <c r="E215" s="23"/>
      <c r="F215" s="227">
        <f>'მოცულ. რ.ბ'!Z95</f>
        <v>2.0950000000000002</v>
      </c>
      <c r="G215" s="149"/>
      <c r="H215" s="149"/>
      <c r="I215" s="149"/>
      <c r="J215" s="149"/>
      <c r="K215" s="149"/>
      <c r="L215" s="149"/>
      <c r="M215" s="149"/>
      <c r="N215" s="23">
        <f>O215/F215</f>
        <v>0</v>
      </c>
      <c r="O215" s="23">
        <f>SUM(M216:M225)</f>
        <v>0</v>
      </c>
    </row>
    <row r="216" spans="1:15">
      <c r="A216" s="69"/>
      <c r="B216" s="132" t="s">
        <v>84</v>
      </c>
      <c r="C216" s="59"/>
      <c r="D216" s="60" t="s">
        <v>54</v>
      </c>
      <c r="E216" s="57"/>
      <c r="F216" s="70">
        <f>F215/100</f>
        <v>2.0950000000000003E-2</v>
      </c>
      <c r="G216" s="122"/>
      <c r="H216" s="122"/>
      <c r="I216" s="122"/>
      <c r="J216" s="122"/>
      <c r="K216" s="122"/>
      <c r="L216" s="122"/>
      <c r="M216" s="122"/>
      <c r="N216" s="23"/>
      <c r="O216" s="23"/>
    </row>
    <row r="217" spans="1:15">
      <c r="A217" s="69"/>
      <c r="B217" s="136"/>
      <c r="C217" s="56" t="s">
        <v>49</v>
      </c>
      <c r="D217" s="22" t="s">
        <v>50</v>
      </c>
      <c r="E217" s="87">
        <v>3530</v>
      </c>
      <c r="F217" s="57">
        <f>E217*F216</f>
        <v>73.953500000000005</v>
      </c>
      <c r="G217" s="122"/>
      <c r="H217" s="122"/>
      <c r="I217" s="122"/>
      <c r="J217" s="122"/>
      <c r="K217" s="122"/>
      <c r="L217" s="122"/>
      <c r="M217" s="122"/>
      <c r="N217" s="23"/>
      <c r="O217" s="23"/>
    </row>
    <row r="218" spans="1:15">
      <c r="A218" s="69"/>
      <c r="B218" s="132" t="s">
        <v>198</v>
      </c>
      <c r="C218" s="56" t="s">
        <v>93</v>
      </c>
      <c r="D218" s="60" t="s">
        <v>62</v>
      </c>
      <c r="E218" s="57">
        <v>195</v>
      </c>
      <c r="F218" s="57">
        <f>E218*F216</f>
        <v>4.0852500000000003</v>
      </c>
      <c r="G218" s="122"/>
      <c r="H218" s="122"/>
      <c r="I218" s="122"/>
      <c r="J218" s="122"/>
      <c r="K218" s="122"/>
      <c r="L218" s="122"/>
      <c r="M218" s="122"/>
      <c r="N218" s="23"/>
      <c r="O218" s="23"/>
    </row>
    <row r="219" spans="1:15">
      <c r="A219" s="69"/>
      <c r="B219" s="132"/>
      <c r="C219" s="56" t="s">
        <v>72</v>
      </c>
      <c r="D219" s="60" t="s">
        <v>73</v>
      </c>
      <c r="E219" s="57">
        <v>6.32</v>
      </c>
      <c r="F219" s="57">
        <f>E219*F216</f>
        <v>0.13240400000000002</v>
      </c>
      <c r="G219" s="122"/>
      <c r="H219" s="122"/>
      <c r="I219" s="122"/>
      <c r="J219" s="122"/>
      <c r="K219" s="122"/>
      <c r="L219" s="122"/>
      <c r="M219" s="122"/>
      <c r="N219" s="23"/>
      <c r="O219" s="23"/>
    </row>
    <row r="220" spans="1:15">
      <c r="A220" s="69"/>
      <c r="B220" s="137" t="s">
        <v>202</v>
      </c>
      <c r="C220" s="59" t="s">
        <v>172</v>
      </c>
      <c r="D220" s="58" t="s">
        <v>51</v>
      </c>
      <c r="E220" s="57">
        <v>1.03</v>
      </c>
      <c r="F220" s="234">
        <f>'მოცულ. რ.ბ'!Y95/1000*E220</f>
        <v>4.1509000000000008E-3</v>
      </c>
      <c r="G220" s="122"/>
      <c r="H220" s="122"/>
      <c r="I220" s="122"/>
      <c r="J220" s="122"/>
      <c r="K220" s="122"/>
      <c r="L220" s="122"/>
      <c r="M220" s="122"/>
      <c r="N220" s="23"/>
      <c r="O220" s="23"/>
    </row>
    <row r="221" spans="1:15">
      <c r="A221" s="69"/>
      <c r="B221" s="137" t="s">
        <v>202</v>
      </c>
      <c r="C221" s="59" t="s">
        <v>173</v>
      </c>
      <c r="D221" s="58" t="s">
        <v>51</v>
      </c>
      <c r="E221" s="57">
        <v>1.03</v>
      </c>
      <c r="F221" s="234">
        <f>'მოცულ. რ.ბ'!W95/1000*E221</f>
        <v>8.843065E-2</v>
      </c>
      <c r="G221" s="122"/>
      <c r="H221" s="122"/>
      <c r="I221" s="122"/>
      <c r="J221" s="122"/>
      <c r="K221" s="122"/>
      <c r="L221" s="122"/>
      <c r="M221" s="122"/>
      <c r="N221" s="23"/>
      <c r="O221" s="23"/>
    </row>
    <row r="222" spans="1:15">
      <c r="A222" s="69"/>
      <c r="B222" s="131" t="s">
        <v>205</v>
      </c>
      <c r="C222" s="59" t="s">
        <v>96</v>
      </c>
      <c r="D222" s="58" t="s">
        <v>22</v>
      </c>
      <c r="E222" s="57">
        <v>101.5</v>
      </c>
      <c r="F222" s="57">
        <f>E222*F216</f>
        <v>2.1264250000000002</v>
      </c>
      <c r="G222" s="122"/>
      <c r="H222" s="122"/>
      <c r="I222" s="122"/>
      <c r="J222" s="122"/>
      <c r="K222" s="122"/>
      <c r="L222" s="122"/>
      <c r="M222" s="122"/>
      <c r="N222" s="23"/>
      <c r="O222" s="23"/>
    </row>
    <row r="223" spans="1:15" s="20" customFormat="1">
      <c r="A223" s="69"/>
      <c r="B223" s="137"/>
      <c r="C223" s="59" t="s">
        <v>210</v>
      </c>
      <c r="D223" s="58" t="s">
        <v>22</v>
      </c>
      <c r="E223" s="57">
        <v>1</v>
      </c>
      <c r="F223" s="70">
        <f>E223*F222</f>
        <v>2.1264250000000002</v>
      </c>
      <c r="G223" s="122"/>
      <c r="H223" s="122"/>
      <c r="I223" s="122"/>
      <c r="J223" s="122"/>
      <c r="K223" s="122"/>
      <c r="L223" s="122"/>
      <c r="M223" s="122"/>
      <c r="N223" s="23"/>
      <c r="O223" s="23"/>
    </row>
    <row r="224" spans="1:15">
      <c r="A224" s="69"/>
      <c r="B224" s="131" t="s">
        <v>209</v>
      </c>
      <c r="C224" s="59" t="s">
        <v>97</v>
      </c>
      <c r="D224" s="58" t="s">
        <v>22</v>
      </c>
      <c r="E224" s="57">
        <f>1.57+21.5</f>
        <v>23.07</v>
      </c>
      <c r="F224" s="57">
        <f>E224*F216</f>
        <v>0.48331650000000009</v>
      </c>
      <c r="G224" s="122"/>
      <c r="H224" s="122"/>
      <c r="I224" s="122"/>
      <c r="J224" s="122"/>
      <c r="K224" s="122"/>
      <c r="L224" s="122"/>
      <c r="M224" s="122"/>
      <c r="N224" s="23"/>
      <c r="O224" s="23"/>
    </row>
    <row r="225" spans="1:15">
      <c r="A225" s="69"/>
      <c r="B225" s="131"/>
      <c r="C225" s="146" t="s">
        <v>74</v>
      </c>
      <c r="D225" s="147" t="s">
        <v>73</v>
      </c>
      <c r="E225" s="57">
        <v>80.900000000000006</v>
      </c>
      <c r="F225" s="57">
        <f>E225*F216</f>
        <v>1.6948550000000004</v>
      </c>
      <c r="G225" s="151"/>
      <c r="H225" s="122"/>
      <c r="I225" s="122"/>
      <c r="J225" s="122"/>
      <c r="K225" s="122"/>
      <c r="L225" s="122"/>
      <c r="M225" s="122"/>
      <c r="N225" s="23"/>
      <c r="O225" s="23"/>
    </row>
    <row r="226" spans="1:15" ht="17.25" customHeight="1">
      <c r="A226" s="69"/>
      <c r="B226" s="132"/>
      <c r="C226" s="109" t="s">
        <v>185</v>
      </c>
      <c r="D226" s="236"/>
      <c r="E226" s="115"/>
      <c r="F226" s="115"/>
      <c r="G226" s="237"/>
      <c r="H226" s="152"/>
      <c r="I226" s="152"/>
      <c r="J226" s="152"/>
      <c r="K226" s="152"/>
      <c r="L226" s="152"/>
      <c r="M226" s="152"/>
      <c r="N226" s="57"/>
      <c r="O226" s="57"/>
    </row>
    <row r="227" spans="1:15" ht="14">
      <c r="A227" s="69"/>
      <c r="B227" s="132"/>
      <c r="C227" s="109" t="s">
        <v>180</v>
      </c>
      <c r="D227" s="60"/>
      <c r="E227" s="57"/>
      <c r="F227" s="57"/>
      <c r="G227" s="122"/>
      <c r="H227" s="122"/>
      <c r="I227" s="122"/>
      <c r="J227" s="122"/>
      <c r="K227" s="122"/>
      <c r="L227" s="122"/>
      <c r="M227" s="122"/>
      <c r="N227" s="57"/>
      <c r="O227" s="57"/>
    </row>
    <row r="228" spans="1:15" s="80" customFormat="1" ht="28">
      <c r="A228" s="66">
        <v>21</v>
      </c>
      <c r="B228" s="134"/>
      <c r="C228" s="67" t="s">
        <v>191</v>
      </c>
      <c r="D228" s="68" t="s">
        <v>22</v>
      </c>
      <c r="E228" s="23"/>
      <c r="F228" s="227">
        <f>'მოცულ. რ.ბ'!Z56+'მოცულ. რ.ბ'!Z57</f>
        <v>5.16</v>
      </c>
      <c r="G228" s="149"/>
      <c r="H228" s="149"/>
      <c r="I228" s="149"/>
      <c r="J228" s="149"/>
      <c r="K228" s="149"/>
      <c r="L228" s="149"/>
      <c r="M228" s="149"/>
      <c r="N228" s="23">
        <f>O228/F228</f>
        <v>0</v>
      </c>
      <c r="O228" s="23">
        <f>SUM(M229:M239)</f>
        <v>0</v>
      </c>
    </row>
    <row r="229" spans="1:15">
      <c r="A229" s="69"/>
      <c r="B229" s="132" t="s">
        <v>77</v>
      </c>
      <c r="C229" s="56" t="s">
        <v>109</v>
      </c>
      <c r="D229" s="60" t="s">
        <v>54</v>
      </c>
      <c r="E229" s="57"/>
      <c r="F229" s="57">
        <f>F228/100</f>
        <v>5.16E-2</v>
      </c>
      <c r="G229" s="122"/>
      <c r="H229" s="122"/>
      <c r="I229" s="122"/>
      <c r="J229" s="122"/>
      <c r="K229" s="122"/>
      <c r="L229" s="122"/>
      <c r="M229" s="122"/>
      <c r="N229" s="23"/>
      <c r="O229" s="23"/>
    </row>
    <row r="230" spans="1:15">
      <c r="A230" s="69"/>
      <c r="B230" s="136" t="s">
        <v>59</v>
      </c>
      <c r="C230" s="56" t="s">
        <v>49</v>
      </c>
      <c r="D230" s="22" t="s">
        <v>22</v>
      </c>
      <c r="E230" s="57">
        <v>100</v>
      </c>
      <c r="F230" s="57">
        <f>E230*F229</f>
        <v>5.16</v>
      </c>
      <c r="G230" s="122"/>
      <c r="H230" s="122"/>
      <c r="I230" s="122"/>
      <c r="J230" s="122"/>
      <c r="K230" s="122"/>
      <c r="L230" s="122"/>
      <c r="M230" s="122"/>
      <c r="N230" s="23"/>
      <c r="O230" s="23"/>
    </row>
    <row r="231" spans="1:15">
      <c r="A231" s="69"/>
      <c r="B231" s="132"/>
      <c r="C231" s="56" t="s">
        <v>72</v>
      </c>
      <c r="D231" s="60" t="s">
        <v>73</v>
      </c>
      <c r="E231" s="57">
        <v>336</v>
      </c>
      <c r="F231" s="57">
        <f>E231*F229</f>
        <v>17.337599999999998</v>
      </c>
      <c r="G231" s="122"/>
      <c r="H231" s="122"/>
      <c r="I231" s="122"/>
      <c r="J231" s="122"/>
      <c r="K231" s="122"/>
      <c r="L231" s="122"/>
      <c r="M231" s="122"/>
      <c r="N231" s="23"/>
      <c r="O231" s="23"/>
    </row>
    <row r="232" spans="1:15">
      <c r="A232" s="69"/>
      <c r="B232" s="137" t="s">
        <v>202</v>
      </c>
      <c r="C232" s="59" t="s">
        <v>172</v>
      </c>
      <c r="D232" s="58" t="s">
        <v>51</v>
      </c>
      <c r="E232" s="57">
        <v>1.03</v>
      </c>
      <c r="F232" s="234">
        <f>('მოცულ. რ.ბ'!Y56+'მოცულ. რ.ბ'!Y57)/1000*E232</f>
        <v>0.35324879999999992</v>
      </c>
      <c r="G232" s="122"/>
      <c r="H232" s="122"/>
      <c r="I232" s="122"/>
      <c r="J232" s="122"/>
      <c r="K232" s="122"/>
      <c r="L232" s="122"/>
      <c r="M232" s="122"/>
      <c r="N232" s="23"/>
      <c r="O232" s="23"/>
    </row>
    <row r="233" spans="1:15">
      <c r="A233" s="69"/>
      <c r="B233" s="137" t="s">
        <v>202</v>
      </c>
      <c r="C233" s="59" t="s">
        <v>173</v>
      </c>
      <c r="D233" s="58" t="s">
        <v>51</v>
      </c>
      <c r="E233" s="57">
        <v>1.03</v>
      </c>
      <c r="F233" s="234">
        <f>('მოცულ. რ.ბ'!W56+'მოცულ. რ.ბ'!W57)/1000*E233</f>
        <v>0.95967159999999996</v>
      </c>
      <c r="G233" s="122"/>
      <c r="H233" s="122"/>
      <c r="I233" s="122"/>
      <c r="J233" s="122"/>
      <c r="K233" s="122"/>
      <c r="L233" s="122"/>
      <c r="M233" s="122"/>
      <c r="N233" s="23"/>
      <c r="O233" s="23"/>
    </row>
    <row r="234" spans="1:15" s="84" customFormat="1">
      <c r="A234" s="81"/>
      <c r="B234" s="131" t="s">
        <v>203</v>
      </c>
      <c r="C234" s="62" t="s">
        <v>95</v>
      </c>
      <c r="D234" s="82" t="s">
        <v>63</v>
      </c>
      <c r="E234" s="57">
        <v>150</v>
      </c>
      <c r="F234" s="57">
        <f>E234*F229</f>
        <v>7.74</v>
      </c>
      <c r="G234" s="122"/>
      <c r="H234" s="122"/>
      <c r="I234" s="122"/>
      <c r="J234" s="122"/>
      <c r="K234" s="122"/>
      <c r="L234" s="122"/>
      <c r="M234" s="122"/>
      <c r="N234" s="83"/>
      <c r="O234" s="83"/>
    </row>
    <row r="235" spans="1:15">
      <c r="A235" s="69"/>
      <c r="B235" s="131" t="s">
        <v>205</v>
      </c>
      <c r="C235" s="59" t="s">
        <v>96</v>
      </c>
      <c r="D235" s="58" t="s">
        <v>22</v>
      </c>
      <c r="E235" s="57">
        <v>101.5</v>
      </c>
      <c r="F235" s="57">
        <f>E235*F229</f>
        <v>5.2374000000000001</v>
      </c>
      <c r="G235" s="122"/>
      <c r="H235" s="122"/>
      <c r="I235" s="122"/>
      <c r="J235" s="122"/>
      <c r="K235" s="122"/>
      <c r="L235" s="122"/>
      <c r="M235" s="122"/>
      <c r="N235" s="23"/>
      <c r="O235" s="23"/>
    </row>
    <row r="236" spans="1:15" s="20" customFormat="1">
      <c r="A236" s="69"/>
      <c r="B236" s="137"/>
      <c r="C236" s="59" t="s">
        <v>210</v>
      </c>
      <c r="D236" s="58" t="s">
        <v>22</v>
      </c>
      <c r="E236" s="57">
        <v>1</v>
      </c>
      <c r="F236" s="57">
        <f>E236*F235</f>
        <v>5.2374000000000001</v>
      </c>
      <c r="G236" s="122"/>
      <c r="H236" s="122"/>
      <c r="I236" s="122"/>
      <c r="J236" s="122"/>
      <c r="K236" s="122"/>
      <c r="L236" s="122"/>
      <c r="M236" s="122"/>
      <c r="N236" s="23"/>
      <c r="O236" s="23"/>
    </row>
    <row r="237" spans="1:15">
      <c r="A237" s="69"/>
      <c r="B237" s="131" t="s">
        <v>209</v>
      </c>
      <c r="C237" s="59" t="s">
        <v>97</v>
      </c>
      <c r="D237" s="58" t="s">
        <v>22</v>
      </c>
      <c r="E237" s="57">
        <f>5.81+0.67</f>
        <v>6.4799999999999995</v>
      </c>
      <c r="F237" s="57">
        <f>E237*F229</f>
        <v>0.334368</v>
      </c>
      <c r="G237" s="122"/>
      <c r="H237" s="122"/>
      <c r="I237" s="122"/>
      <c r="J237" s="122"/>
      <c r="K237" s="122"/>
      <c r="L237" s="122"/>
      <c r="M237" s="122"/>
      <c r="N237" s="23"/>
      <c r="O237" s="23"/>
    </row>
    <row r="238" spans="1:15">
      <c r="A238" s="69"/>
      <c r="B238" s="131" t="s">
        <v>207</v>
      </c>
      <c r="C238" s="59" t="s">
        <v>98</v>
      </c>
      <c r="D238" s="58" t="s">
        <v>23</v>
      </c>
      <c r="E238" s="57">
        <v>242</v>
      </c>
      <c r="F238" s="57">
        <f>E238*F229</f>
        <v>12.4872</v>
      </c>
      <c r="G238" s="122"/>
      <c r="H238" s="122"/>
      <c r="I238" s="122"/>
      <c r="J238" s="122"/>
      <c r="K238" s="122"/>
      <c r="L238" s="122"/>
      <c r="M238" s="122"/>
      <c r="N238" s="23"/>
      <c r="O238" s="23"/>
    </row>
    <row r="239" spans="1:15">
      <c r="A239" s="69"/>
      <c r="B239" s="131"/>
      <c r="C239" s="146" t="s">
        <v>74</v>
      </c>
      <c r="D239" s="147" t="s">
        <v>73</v>
      </c>
      <c r="E239" s="57">
        <v>60</v>
      </c>
      <c r="F239" s="57">
        <f>E239*F229</f>
        <v>3.0960000000000001</v>
      </c>
      <c r="G239" s="151"/>
      <c r="H239" s="122"/>
      <c r="I239" s="122"/>
      <c r="J239" s="122"/>
      <c r="K239" s="122"/>
      <c r="L239" s="122"/>
      <c r="M239" s="122"/>
      <c r="N239" s="23"/>
      <c r="O239" s="23"/>
    </row>
    <row r="240" spans="1:15" s="80" customFormat="1" ht="28">
      <c r="A240" s="66">
        <v>22</v>
      </c>
      <c r="B240" s="134"/>
      <c r="C240" s="67" t="s">
        <v>192</v>
      </c>
      <c r="D240" s="68" t="s">
        <v>22</v>
      </c>
      <c r="E240" s="23"/>
      <c r="F240" s="227">
        <f>'მოცულ. რ.ბ'!Z79</f>
        <v>16.41</v>
      </c>
      <c r="G240" s="149"/>
      <c r="H240" s="149"/>
      <c r="I240" s="149"/>
      <c r="J240" s="149"/>
      <c r="K240" s="149"/>
      <c r="L240" s="149"/>
      <c r="M240" s="149"/>
      <c r="N240" s="23">
        <f>O240/F240</f>
        <v>0</v>
      </c>
      <c r="O240" s="23">
        <f>SUM(M241:M251)</f>
        <v>0</v>
      </c>
    </row>
    <row r="241" spans="1:15">
      <c r="A241" s="69"/>
      <c r="B241" s="132" t="s">
        <v>78</v>
      </c>
      <c r="C241" s="56" t="s">
        <v>83</v>
      </c>
      <c r="D241" s="60" t="s">
        <v>54</v>
      </c>
      <c r="E241" s="57"/>
      <c r="F241" s="57">
        <f>F240/100</f>
        <v>0.1641</v>
      </c>
      <c r="G241" s="122"/>
      <c r="H241" s="122"/>
      <c r="I241" s="122"/>
      <c r="J241" s="122"/>
      <c r="K241" s="122"/>
      <c r="L241" s="122"/>
      <c r="M241" s="122"/>
      <c r="N241" s="23"/>
      <c r="O241" s="23"/>
    </row>
    <row r="242" spans="1:15">
      <c r="A242" s="69"/>
      <c r="B242" s="136" t="s">
        <v>59</v>
      </c>
      <c r="C242" s="56" t="s">
        <v>49</v>
      </c>
      <c r="D242" s="22" t="s">
        <v>22</v>
      </c>
      <c r="E242" s="57">
        <v>100</v>
      </c>
      <c r="F242" s="57">
        <f>E242*F241</f>
        <v>16.41</v>
      </c>
      <c r="G242" s="122"/>
      <c r="H242" s="122"/>
      <c r="I242" s="122"/>
      <c r="J242" s="122"/>
      <c r="K242" s="122"/>
      <c r="L242" s="122"/>
      <c r="M242" s="122"/>
      <c r="N242" s="23"/>
      <c r="O242" s="23"/>
    </row>
    <row r="243" spans="1:15">
      <c r="A243" s="69"/>
      <c r="B243" s="132"/>
      <c r="C243" s="56" t="s">
        <v>72</v>
      </c>
      <c r="D243" s="60" t="s">
        <v>73</v>
      </c>
      <c r="E243" s="57">
        <v>121</v>
      </c>
      <c r="F243" s="57">
        <f>E243*F241</f>
        <v>19.856099999999998</v>
      </c>
      <c r="G243" s="122"/>
      <c r="H243" s="122"/>
      <c r="I243" s="122"/>
      <c r="J243" s="122"/>
      <c r="K243" s="122"/>
      <c r="L243" s="122"/>
      <c r="M243" s="122"/>
      <c r="N243" s="23"/>
      <c r="O243" s="23"/>
    </row>
    <row r="244" spans="1:15">
      <c r="A244" s="69"/>
      <c r="B244" s="137" t="s">
        <v>202</v>
      </c>
      <c r="C244" s="59" t="s">
        <v>172</v>
      </c>
      <c r="D244" s="58" t="s">
        <v>51</v>
      </c>
      <c r="E244" s="57">
        <v>1.03</v>
      </c>
      <c r="F244" s="234">
        <f>'მოცულ. რ.ბ'!Y79/1000*E244</f>
        <v>1.1741485</v>
      </c>
      <c r="G244" s="122"/>
      <c r="H244" s="122"/>
      <c r="I244" s="122"/>
      <c r="J244" s="122"/>
      <c r="K244" s="122"/>
      <c r="L244" s="122"/>
      <c r="M244" s="122"/>
      <c r="N244" s="23"/>
      <c r="O244" s="23"/>
    </row>
    <row r="245" spans="1:15">
      <c r="A245" s="69"/>
      <c r="B245" s="137" t="s">
        <v>202</v>
      </c>
      <c r="C245" s="59" t="s">
        <v>173</v>
      </c>
      <c r="D245" s="58" t="s">
        <v>51</v>
      </c>
      <c r="E245" s="57">
        <v>1.03</v>
      </c>
      <c r="F245" s="234">
        <f>'მოცულ. რ.ბ'!W79/1000*E245</f>
        <v>2.1861234999999999</v>
      </c>
      <c r="G245" s="122"/>
      <c r="H245" s="122"/>
      <c r="I245" s="122"/>
      <c r="J245" s="122"/>
      <c r="K245" s="122"/>
      <c r="L245" s="122"/>
      <c r="M245" s="122"/>
      <c r="N245" s="23"/>
      <c r="O245" s="23"/>
    </row>
    <row r="246" spans="1:15" s="84" customFormat="1">
      <c r="A246" s="81"/>
      <c r="B246" s="131" t="s">
        <v>203</v>
      </c>
      <c r="C246" s="62" t="s">
        <v>95</v>
      </c>
      <c r="D246" s="82" t="s">
        <v>63</v>
      </c>
      <c r="E246" s="57">
        <v>330</v>
      </c>
      <c r="F246" s="57">
        <f>E246*F241</f>
        <v>54.152999999999999</v>
      </c>
      <c r="G246" s="122"/>
      <c r="H246" s="122"/>
      <c r="I246" s="122"/>
      <c r="J246" s="122"/>
      <c r="K246" s="122"/>
      <c r="L246" s="122"/>
      <c r="M246" s="122"/>
      <c r="N246" s="83"/>
      <c r="O246" s="83"/>
    </row>
    <row r="247" spans="1:15">
      <c r="A247" s="69"/>
      <c r="B247" s="131" t="s">
        <v>205</v>
      </c>
      <c r="C247" s="59" t="s">
        <v>96</v>
      </c>
      <c r="D247" s="58" t="s">
        <v>22</v>
      </c>
      <c r="E247" s="57">
        <v>100</v>
      </c>
      <c r="F247" s="57">
        <f>E247*F241</f>
        <v>16.41</v>
      </c>
      <c r="G247" s="122"/>
      <c r="H247" s="122"/>
      <c r="I247" s="122"/>
      <c r="J247" s="122"/>
      <c r="K247" s="122"/>
      <c r="L247" s="122"/>
      <c r="M247" s="122"/>
      <c r="N247" s="23"/>
      <c r="O247" s="23"/>
    </row>
    <row r="248" spans="1:15" s="20" customFormat="1">
      <c r="A248" s="69"/>
      <c r="B248" s="137"/>
      <c r="C248" s="59" t="s">
        <v>210</v>
      </c>
      <c r="D248" s="58" t="s">
        <v>22</v>
      </c>
      <c r="E248" s="57">
        <v>1</v>
      </c>
      <c r="F248" s="70">
        <f>E248*F247</f>
        <v>16.41</v>
      </c>
      <c r="G248" s="122"/>
      <c r="H248" s="122"/>
      <c r="I248" s="122"/>
      <c r="J248" s="122"/>
      <c r="K248" s="122"/>
      <c r="L248" s="122"/>
      <c r="M248" s="122"/>
      <c r="N248" s="23"/>
      <c r="O248" s="23"/>
    </row>
    <row r="249" spans="1:15">
      <c r="A249" s="69"/>
      <c r="B249" s="131" t="s">
        <v>209</v>
      </c>
      <c r="C249" s="59" t="s">
        <v>97</v>
      </c>
      <c r="D249" s="58" t="s">
        <v>22</v>
      </c>
      <c r="E249" s="57">
        <f>1.6+0.7</f>
        <v>2.2999999999999998</v>
      </c>
      <c r="F249" s="57">
        <f>E249*F241</f>
        <v>0.37742999999999999</v>
      </c>
      <c r="G249" s="122"/>
      <c r="H249" s="122"/>
      <c r="I249" s="122"/>
      <c r="J249" s="122"/>
      <c r="K249" s="122"/>
      <c r="L249" s="122"/>
      <c r="M249" s="122"/>
      <c r="N249" s="23"/>
      <c r="O249" s="23"/>
    </row>
    <row r="250" spans="1:15">
      <c r="A250" s="69"/>
      <c r="B250" s="131" t="s">
        <v>207</v>
      </c>
      <c r="C250" s="59" t="s">
        <v>98</v>
      </c>
      <c r="D250" s="58" t="s">
        <v>23</v>
      </c>
      <c r="E250" s="57">
        <v>246</v>
      </c>
      <c r="F250" s="57">
        <f>E250*F241</f>
        <v>40.368600000000001</v>
      </c>
      <c r="G250" s="122"/>
      <c r="H250" s="122"/>
      <c r="I250" s="122"/>
      <c r="J250" s="122"/>
      <c r="K250" s="122"/>
      <c r="L250" s="122"/>
      <c r="M250" s="122"/>
      <c r="N250" s="23"/>
      <c r="O250" s="23"/>
    </row>
    <row r="251" spans="1:15">
      <c r="A251" s="69"/>
      <c r="B251" s="131"/>
      <c r="C251" s="146" t="s">
        <v>74</v>
      </c>
      <c r="D251" s="147" t="s">
        <v>73</v>
      </c>
      <c r="E251" s="57">
        <v>90</v>
      </c>
      <c r="F251" s="57">
        <f>E251*F241</f>
        <v>14.769</v>
      </c>
      <c r="G251" s="151"/>
      <c r="H251" s="122"/>
      <c r="I251" s="122"/>
      <c r="J251" s="122"/>
      <c r="K251" s="122"/>
      <c r="L251" s="122"/>
      <c r="M251" s="122"/>
      <c r="N251" s="23"/>
      <c r="O251" s="23"/>
    </row>
    <row r="252" spans="1:15" s="80" customFormat="1" ht="28">
      <c r="A252" s="66">
        <v>23</v>
      </c>
      <c r="B252" s="134"/>
      <c r="C252" s="67" t="s">
        <v>193</v>
      </c>
      <c r="D252" s="68" t="s">
        <v>22</v>
      </c>
      <c r="E252" s="23"/>
      <c r="F252" s="227">
        <f>'მოცულ. რ.ბ'!Z80</f>
        <v>42.56</v>
      </c>
      <c r="G252" s="149"/>
      <c r="H252" s="149"/>
      <c r="I252" s="149"/>
      <c r="J252" s="149"/>
      <c r="K252" s="149"/>
      <c r="L252" s="149"/>
      <c r="M252" s="149"/>
      <c r="N252" s="23">
        <f>O252/F252</f>
        <v>0</v>
      </c>
      <c r="O252" s="23">
        <f>SUM(M253:M262)</f>
        <v>0</v>
      </c>
    </row>
    <row r="253" spans="1:15">
      <c r="A253" s="69"/>
      <c r="B253" s="132" t="s">
        <v>80</v>
      </c>
      <c r="C253" s="56" t="s">
        <v>82</v>
      </c>
      <c r="D253" s="60" t="s">
        <v>54</v>
      </c>
      <c r="E253" s="57"/>
      <c r="F253" s="57">
        <f>F252/100</f>
        <v>0.42560000000000003</v>
      </c>
      <c r="G253" s="122"/>
      <c r="H253" s="122"/>
      <c r="I253" s="122"/>
      <c r="J253" s="122"/>
      <c r="K253" s="122"/>
      <c r="L253" s="122"/>
      <c r="M253" s="122"/>
      <c r="N253" s="57"/>
      <c r="O253" s="57"/>
    </row>
    <row r="254" spans="1:15">
      <c r="A254" s="69"/>
      <c r="B254" s="136" t="s">
        <v>59</v>
      </c>
      <c r="C254" s="56" t="s">
        <v>49</v>
      </c>
      <c r="D254" s="22" t="s">
        <v>22</v>
      </c>
      <c r="E254" s="57">
        <v>100</v>
      </c>
      <c r="F254" s="57">
        <f>E254*F253</f>
        <v>42.56</v>
      </c>
      <c r="G254" s="122"/>
      <c r="H254" s="122"/>
      <c r="I254" s="122"/>
      <c r="J254" s="122"/>
      <c r="K254" s="122"/>
      <c r="L254" s="122"/>
      <c r="M254" s="122"/>
      <c r="N254" s="57"/>
      <c r="O254" s="57"/>
    </row>
    <row r="255" spans="1:15">
      <c r="A255" s="69"/>
      <c r="B255" s="132"/>
      <c r="C255" s="56" t="s">
        <v>72</v>
      </c>
      <c r="D255" s="60" t="s">
        <v>73</v>
      </c>
      <c r="E255" s="57">
        <v>81</v>
      </c>
      <c r="F255" s="57">
        <f>E255*F253</f>
        <v>34.473600000000005</v>
      </c>
      <c r="G255" s="122"/>
      <c r="H255" s="122"/>
      <c r="I255" s="122"/>
      <c r="J255" s="122"/>
      <c r="K255" s="122"/>
      <c r="L255" s="122"/>
      <c r="M255" s="122"/>
      <c r="N255" s="57"/>
      <c r="O255" s="57"/>
    </row>
    <row r="256" spans="1:15">
      <c r="A256" s="69"/>
      <c r="B256" s="137" t="s">
        <v>202</v>
      </c>
      <c r="C256" s="59" t="s">
        <v>172</v>
      </c>
      <c r="D256" s="58" t="s">
        <v>51</v>
      </c>
      <c r="E256" s="57">
        <v>1.03</v>
      </c>
      <c r="F256" s="234">
        <f>E256*('მოცულ. რ.ბ'!Y80)/1000</f>
        <v>7.9886800000000008E-2</v>
      </c>
      <c r="G256" s="122"/>
      <c r="H256" s="122"/>
      <c r="I256" s="122"/>
      <c r="J256" s="122"/>
      <c r="K256" s="122"/>
      <c r="L256" s="122"/>
      <c r="M256" s="122"/>
      <c r="N256" s="57"/>
      <c r="O256" s="57"/>
    </row>
    <row r="257" spans="1:15">
      <c r="A257" s="69"/>
      <c r="B257" s="137" t="s">
        <v>202</v>
      </c>
      <c r="C257" s="59" t="s">
        <v>173</v>
      </c>
      <c r="D257" s="58" t="s">
        <v>51</v>
      </c>
      <c r="E257" s="57">
        <v>1.03</v>
      </c>
      <c r="F257" s="234">
        <f>E257*('მოცულ. რ.ბ'!W80)/1000</f>
        <v>3.8842844999999997</v>
      </c>
      <c r="G257" s="122"/>
      <c r="H257" s="122"/>
      <c r="I257" s="122"/>
      <c r="J257" s="122"/>
      <c r="K257" s="122"/>
      <c r="L257" s="122"/>
      <c r="M257" s="122"/>
      <c r="N257" s="57"/>
      <c r="O257" s="57"/>
    </row>
    <row r="258" spans="1:15">
      <c r="A258" s="69"/>
      <c r="B258" s="131" t="s">
        <v>205</v>
      </c>
      <c r="C258" s="59" t="s">
        <v>96</v>
      </c>
      <c r="D258" s="58" t="s">
        <v>22</v>
      </c>
      <c r="E258" s="57">
        <v>101.5</v>
      </c>
      <c r="F258" s="57">
        <f>E258*F253</f>
        <v>43.198400000000007</v>
      </c>
      <c r="G258" s="122"/>
      <c r="H258" s="122"/>
      <c r="I258" s="122"/>
      <c r="J258" s="122"/>
      <c r="K258" s="122"/>
      <c r="L258" s="122"/>
      <c r="M258" s="122"/>
      <c r="N258" s="57"/>
      <c r="O258" s="57"/>
    </row>
    <row r="259" spans="1:15" s="20" customFormat="1">
      <c r="A259" s="69"/>
      <c r="B259" s="137"/>
      <c r="C259" s="59" t="s">
        <v>210</v>
      </c>
      <c r="D259" s="58" t="s">
        <v>22</v>
      </c>
      <c r="E259" s="57">
        <v>1</v>
      </c>
      <c r="F259" s="70">
        <f>E259*F258</f>
        <v>43.198400000000007</v>
      </c>
      <c r="G259" s="122"/>
      <c r="H259" s="122"/>
      <c r="I259" s="122"/>
      <c r="J259" s="122"/>
      <c r="K259" s="122"/>
      <c r="L259" s="122"/>
      <c r="M259" s="122"/>
      <c r="N259" s="23"/>
      <c r="O259" s="23"/>
    </row>
    <row r="260" spans="1:15">
      <c r="A260" s="69"/>
      <c r="B260" s="131" t="s">
        <v>209</v>
      </c>
      <c r="C260" s="59" t="s">
        <v>97</v>
      </c>
      <c r="D260" s="58" t="s">
        <v>22</v>
      </c>
      <c r="E260" s="57">
        <v>3.66</v>
      </c>
      <c r="F260" s="57">
        <f>E260*F253</f>
        <v>1.5576960000000002</v>
      </c>
      <c r="G260" s="122"/>
      <c r="H260" s="122"/>
      <c r="I260" s="122"/>
      <c r="J260" s="122"/>
      <c r="K260" s="122"/>
      <c r="L260" s="122"/>
      <c r="M260" s="122"/>
      <c r="N260" s="57"/>
      <c r="O260" s="57"/>
    </row>
    <row r="261" spans="1:15">
      <c r="A261" s="69"/>
      <c r="B261" s="131" t="s">
        <v>207</v>
      </c>
      <c r="C261" s="59" t="s">
        <v>98</v>
      </c>
      <c r="D261" s="58" t="s">
        <v>23</v>
      </c>
      <c r="E261" s="57">
        <v>137</v>
      </c>
      <c r="F261" s="57">
        <f>E261*F253</f>
        <v>58.307200000000002</v>
      </c>
      <c r="G261" s="122"/>
      <c r="H261" s="122"/>
      <c r="I261" s="122"/>
      <c r="J261" s="122"/>
      <c r="K261" s="122"/>
      <c r="L261" s="122"/>
      <c r="M261" s="122"/>
      <c r="N261" s="57"/>
      <c r="O261" s="57"/>
    </row>
    <row r="262" spans="1:15">
      <c r="A262" s="69"/>
      <c r="B262" s="131"/>
      <c r="C262" s="146" t="s">
        <v>74</v>
      </c>
      <c r="D262" s="147" t="s">
        <v>73</v>
      </c>
      <c r="E262" s="57">
        <v>39</v>
      </c>
      <c r="F262" s="57">
        <f>E262*F253</f>
        <v>16.598400000000002</v>
      </c>
      <c r="G262" s="151"/>
      <c r="H262" s="122"/>
      <c r="I262" s="122"/>
      <c r="J262" s="122"/>
      <c r="K262" s="122"/>
      <c r="L262" s="122"/>
      <c r="M262" s="122"/>
      <c r="N262" s="57"/>
      <c r="O262" s="57"/>
    </row>
    <row r="263" spans="1:15" ht="17.25" customHeight="1">
      <c r="A263" s="69"/>
      <c r="B263" s="132"/>
      <c r="C263" s="109" t="s">
        <v>317</v>
      </c>
      <c r="D263" s="236"/>
      <c r="E263" s="115"/>
      <c r="F263" s="115"/>
      <c r="G263" s="237"/>
      <c r="H263" s="152"/>
      <c r="I263" s="152"/>
      <c r="J263" s="152"/>
      <c r="K263" s="152"/>
      <c r="L263" s="152"/>
      <c r="M263" s="152"/>
      <c r="N263" s="57"/>
      <c r="O263" s="57"/>
    </row>
    <row r="264" spans="1:15">
      <c r="A264" s="69"/>
      <c r="B264" s="131"/>
      <c r="C264" s="146"/>
      <c r="D264" s="147"/>
      <c r="E264" s="57"/>
      <c r="F264" s="57"/>
      <c r="G264" s="151"/>
      <c r="H264" s="122"/>
      <c r="I264" s="122"/>
      <c r="J264" s="122"/>
      <c r="K264" s="122"/>
      <c r="L264" s="122"/>
      <c r="M264" s="122"/>
      <c r="N264" s="23"/>
      <c r="O264" s="23"/>
    </row>
    <row r="265" spans="1:15">
      <c r="A265" s="69"/>
      <c r="B265" s="131"/>
      <c r="C265" s="337" t="s">
        <v>331</v>
      </c>
      <c r="D265" s="282"/>
      <c r="E265" s="57"/>
      <c r="F265" s="57"/>
      <c r="G265" s="151"/>
      <c r="H265" s="122"/>
      <c r="I265" s="122"/>
      <c r="J265" s="122"/>
      <c r="K265" s="122"/>
      <c r="L265" s="122"/>
      <c r="M265" s="122"/>
      <c r="N265" s="23"/>
      <c r="O265" s="23"/>
    </row>
    <row r="266" spans="1:15" ht="14">
      <c r="A266" s="69">
        <v>24</v>
      </c>
      <c r="B266" s="131"/>
      <c r="C266" s="338" t="s">
        <v>318</v>
      </c>
      <c r="D266" s="282"/>
      <c r="E266" s="57"/>
      <c r="F266" s="57"/>
      <c r="G266" s="151"/>
      <c r="H266" s="122"/>
      <c r="I266" s="122"/>
      <c r="J266" s="122"/>
      <c r="K266" s="122"/>
      <c r="L266" s="122"/>
      <c r="M266" s="122"/>
      <c r="N266" s="23"/>
      <c r="O266" s="23">
        <f>SUM(M268:M277)</f>
        <v>0</v>
      </c>
    </row>
    <row r="267" spans="1:15">
      <c r="A267" s="69" t="s">
        <v>324</v>
      </c>
      <c r="B267" s="131"/>
      <c r="C267" s="336" t="s">
        <v>325</v>
      </c>
      <c r="D267" s="282" t="s">
        <v>22</v>
      </c>
      <c r="E267" s="57"/>
      <c r="F267" s="227">
        <f>'მოცულ. რ.ბ'!K104</f>
        <v>0.84239999999999993</v>
      </c>
      <c r="G267" s="151"/>
      <c r="H267" s="122"/>
      <c r="I267" s="122"/>
      <c r="J267" s="122"/>
      <c r="K267" s="122"/>
      <c r="L267" s="122"/>
      <c r="M267" s="122"/>
      <c r="N267" s="23"/>
      <c r="O267" s="23"/>
    </row>
    <row r="268" spans="1:15">
      <c r="A268" s="69"/>
      <c r="B268" s="132" t="s">
        <v>106</v>
      </c>
      <c r="C268" s="56"/>
      <c r="D268" s="60" t="s">
        <v>54</v>
      </c>
      <c r="E268" s="57"/>
      <c r="F268" s="70">
        <f>F267/100</f>
        <v>8.4239999999999992E-3</v>
      </c>
      <c r="G268" s="122"/>
      <c r="H268" s="122"/>
      <c r="I268" s="122"/>
      <c r="J268" s="122"/>
      <c r="K268" s="122"/>
      <c r="L268" s="122"/>
      <c r="M268" s="122"/>
      <c r="N268" s="23"/>
      <c r="O268" s="23"/>
    </row>
    <row r="269" spans="1:15">
      <c r="A269" s="69"/>
      <c r="B269" s="136" t="s">
        <v>59</v>
      </c>
      <c r="C269" s="56" t="s">
        <v>49</v>
      </c>
      <c r="D269" s="22" t="s">
        <v>22</v>
      </c>
      <c r="E269" s="57">
        <v>100</v>
      </c>
      <c r="F269" s="57">
        <f>E269*F268</f>
        <v>0.84239999999999993</v>
      </c>
      <c r="G269" s="122"/>
      <c r="H269" s="122"/>
      <c r="I269" s="122"/>
      <c r="J269" s="122"/>
      <c r="K269" s="122"/>
      <c r="L269" s="122"/>
      <c r="M269" s="122"/>
      <c r="N269" s="23"/>
      <c r="O269" s="23"/>
    </row>
    <row r="270" spans="1:15">
      <c r="A270" s="69"/>
      <c r="B270" s="132"/>
      <c r="C270" s="56" t="s">
        <v>72</v>
      </c>
      <c r="D270" s="60" t="s">
        <v>73</v>
      </c>
      <c r="E270" s="57">
        <v>110</v>
      </c>
      <c r="F270" s="57">
        <f>E270*F268</f>
        <v>0.92663999999999991</v>
      </c>
      <c r="G270" s="122"/>
      <c r="H270" s="122"/>
      <c r="I270" s="122"/>
      <c r="J270" s="122"/>
      <c r="K270" s="122"/>
      <c r="L270" s="122"/>
      <c r="M270" s="122"/>
      <c r="N270" s="23"/>
      <c r="O270" s="23"/>
    </row>
    <row r="271" spans="1:15">
      <c r="A271" s="69"/>
      <c r="B271" s="137" t="s">
        <v>202</v>
      </c>
      <c r="C271" s="59" t="s">
        <v>173</v>
      </c>
      <c r="D271" s="58" t="s">
        <v>51</v>
      </c>
      <c r="E271" s="57">
        <v>1.03</v>
      </c>
      <c r="F271" s="234">
        <f>(((1.85+0.85)*2/0.2*(0.5+0.5))*2*0.89+((0.5/0.2*2*(1.85+0.85)*2)*2*0.89))/1000</f>
        <v>9.6120000000000011E-2</v>
      </c>
      <c r="G271" s="122"/>
      <c r="H271" s="122"/>
      <c r="I271" s="122"/>
      <c r="J271" s="122"/>
      <c r="K271" s="122"/>
      <c r="L271" s="122"/>
      <c r="M271" s="122"/>
      <c r="N271" s="23"/>
      <c r="O271" s="23"/>
    </row>
    <row r="272" spans="1:15">
      <c r="A272" s="69"/>
      <c r="B272" s="131" t="s">
        <v>203</v>
      </c>
      <c r="C272" s="62" t="s">
        <v>95</v>
      </c>
      <c r="D272" s="61" t="s">
        <v>63</v>
      </c>
      <c r="E272" s="57">
        <v>100</v>
      </c>
      <c r="F272" s="57">
        <f>E272*F268</f>
        <v>0.84239999999999993</v>
      </c>
      <c r="G272" s="122"/>
      <c r="H272" s="122"/>
      <c r="I272" s="122"/>
      <c r="J272" s="122"/>
      <c r="K272" s="122"/>
      <c r="L272" s="122"/>
      <c r="M272" s="122"/>
      <c r="N272" s="23"/>
      <c r="O272" s="23"/>
    </row>
    <row r="273" spans="1:15">
      <c r="A273" s="69"/>
      <c r="B273" s="131" t="s">
        <v>205</v>
      </c>
      <c r="C273" s="59" t="s">
        <v>96</v>
      </c>
      <c r="D273" s="58" t="s">
        <v>22</v>
      </c>
      <c r="E273" s="57">
        <v>101.5</v>
      </c>
      <c r="F273" s="57">
        <f>E273*F268</f>
        <v>0.85503599999999991</v>
      </c>
      <c r="G273" s="122"/>
      <c r="H273" s="122"/>
      <c r="I273" s="122"/>
      <c r="J273" s="122"/>
      <c r="K273" s="122"/>
      <c r="L273" s="122"/>
      <c r="M273" s="122"/>
      <c r="N273" s="23"/>
      <c r="O273" s="23"/>
    </row>
    <row r="274" spans="1:15" s="20" customFormat="1">
      <c r="A274" s="69"/>
      <c r="B274" s="137"/>
      <c r="C274" s="59" t="s">
        <v>210</v>
      </c>
      <c r="D274" s="58" t="s">
        <v>22</v>
      </c>
      <c r="E274" s="57">
        <v>1</v>
      </c>
      <c r="F274" s="70">
        <f>E274*F273</f>
        <v>0.85503599999999991</v>
      </c>
      <c r="G274" s="122"/>
      <c r="H274" s="122"/>
      <c r="I274" s="122"/>
      <c r="J274" s="122"/>
      <c r="K274" s="122"/>
      <c r="L274" s="122"/>
      <c r="M274" s="122"/>
      <c r="N274" s="23"/>
      <c r="O274" s="23"/>
    </row>
    <row r="275" spans="1:15">
      <c r="A275" s="69"/>
      <c r="B275" s="131" t="s">
        <v>209</v>
      </c>
      <c r="C275" s="59" t="s">
        <v>97</v>
      </c>
      <c r="D275" s="58" t="s">
        <v>22</v>
      </c>
      <c r="E275" s="57">
        <f>3.91+0.34</f>
        <v>4.25</v>
      </c>
      <c r="F275" s="57">
        <f>E275*F268</f>
        <v>3.5801999999999994E-2</v>
      </c>
      <c r="G275" s="122"/>
      <c r="H275" s="122"/>
      <c r="I275" s="122"/>
      <c r="J275" s="122"/>
      <c r="K275" s="122"/>
      <c r="L275" s="122"/>
      <c r="M275" s="122"/>
      <c r="N275" s="23"/>
      <c r="O275" s="23"/>
    </row>
    <row r="276" spans="1:15">
      <c r="A276" s="69"/>
      <c r="B276" s="131" t="s">
        <v>207</v>
      </c>
      <c r="C276" s="59" t="s">
        <v>98</v>
      </c>
      <c r="D276" s="58" t="s">
        <v>23</v>
      </c>
      <c r="E276" s="57">
        <v>184</v>
      </c>
      <c r="F276" s="57">
        <f>E276*F268</f>
        <v>1.5500159999999998</v>
      </c>
      <c r="G276" s="122"/>
      <c r="H276" s="122"/>
      <c r="I276" s="122"/>
      <c r="J276" s="122"/>
      <c r="K276" s="122"/>
      <c r="L276" s="122"/>
      <c r="M276" s="122"/>
      <c r="N276" s="23"/>
      <c r="O276" s="23"/>
    </row>
    <row r="277" spans="1:15">
      <c r="A277" s="69"/>
      <c r="B277" s="131"/>
      <c r="C277" s="146" t="s">
        <v>74</v>
      </c>
      <c r="D277" s="282" t="s">
        <v>73</v>
      </c>
      <c r="E277" s="57">
        <v>46</v>
      </c>
      <c r="F277" s="57">
        <f>E277*F268</f>
        <v>0.38750399999999996</v>
      </c>
      <c r="G277" s="151"/>
      <c r="H277" s="122"/>
      <c r="I277" s="122"/>
      <c r="J277" s="122"/>
      <c r="K277" s="122"/>
      <c r="L277" s="122"/>
      <c r="M277" s="122"/>
      <c r="N277" s="23"/>
      <c r="O277" s="23"/>
    </row>
    <row r="278" spans="1:15" ht="14">
      <c r="A278" s="66">
        <v>25</v>
      </c>
      <c r="B278" s="131"/>
      <c r="C278" s="341" t="s">
        <v>326</v>
      </c>
      <c r="D278" s="329" t="s">
        <v>22</v>
      </c>
      <c r="E278" s="57"/>
      <c r="F278" s="23">
        <f>'მოცულ. რ.ბ'!K107</f>
        <v>0.73009999999999997</v>
      </c>
      <c r="G278" s="151"/>
      <c r="H278" s="122"/>
      <c r="I278" s="122"/>
      <c r="J278" s="122"/>
      <c r="K278" s="122"/>
      <c r="L278" s="122"/>
      <c r="M278" s="122"/>
      <c r="N278" s="23"/>
      <c r="O278" s="23">
        <f>SUM(M279:M283)</f>
        <v>0</v>
      </c>
    </row>
    <row r="279" spans="1:15" s="48" customFormat="1">
      <c r="A279" s="44"/>
      <c r="B279" s="135" t="s">
        <v>120</v>
      </c>
      <c r="C279" s="146"/>
      <c r="D279" s="282" t="s">
        <v>55</v>
      </c>
      <c r="E279" s="148"/>
      <c r="F279" s="148">
        <f>F278</f>
        <v>0.73009999999999997</v>
      </c>
      <c r="G279" s="151"/>
      <c r="H279" s="151"/>
      <c r="I279" s="151"/>
      <c r="J279" s="151"/>
      <c r="K279" s="151"/>
      <c r="L279" s="151"/>
      <c r="M279" s="151"/>
      <c r="N279" s="23"/>
      <c r="O279" s="23"/>
    </row>
    <row r="280" spans="1:15" s="48" customFormat="1">
      <c r="A280" s="44"/>
      <c r="B280" s="135"/>
      <c r="C280" s="146" t="s">
        <v>56</v>
      </c>
      <c r="D280" s="282" t="s">
        <v>50</v>
      </c>
      <c r="E280" s="148">
        <v>0.89</v>
      </c>
      <c r="F280" s="148">
        <f>E280*F279</f>
        <v>0.64978899999999995</v>
      </c>
      <c r="G280" s="151"/>
      <c r="H280" s="151"/>
      <c r="I280" s="151"/>
      <c r="J280" s="151"/>
      <c r="K280" s="151"/>
      <c r="L280" s="151"/>
      <c r="M280" s="151"/>
      <c r="N280" s="23"/>
      <c r="O280" s="23"/>
    </row>
    <row r="281" spans="1:15" s="48" customFormat="1">
      <c r="A281" s="44"/>
      <c r="B281" s="132"/>
      <c r="C281" s="56" t="s">
        <v>72</v>
      </c>
      <c r="D281" s="60" t="s">
        <v>73</v>
      </c>
      <c r="E281" s="148">
        <v>0.37</v>
      </c>
      <c r="F281" s="148">
        <f>E281*F279</f>
        <v>0.27013699999999996</v>
      </c>
      <c r="G281" s="151"/>
      <c r="H281" s="151"/>
      <c r="I281" s="151"/>
      <c r="J281" s="151"/>
      <c r="K281" s="122"/>
      <c r="L281" s="151"/>
      <c r="M281" s="151"/>
      <c r="N281" s="23"/>
      <c r="O281" s="23"/>
    </row>
    <row r="282" spans="1:15" s="48" customFormat="1">
      <c r="A282" s="44"/>
      <c r="B282" s="135" t="s">
        <v>328</v>
      </c>
      <c r="C282" s="146" t="s">
        <v>327</v>
      </c>
      <c r="D282" s="282" t="s">
        <v>22</v>
      </c>
      <c r="E282" s="148">
        <v>1.1499999999999999</v>
      </c>
      <c r="F282" s="148">
        <f>E282*F279</f>
        <v>0.83961499999999989</v>
      </c>
      <c r="G282" s="151"/>
      <c r="H282" s="151"/>
      <c r="I282" s="151"/>
      <c r="J282" s="151"/>
      <c r="K282" s="151"/>
      <c r="L282" s="151"/>
      <c r="M282" s="151"/>
      <c r="N282" s="23"/>
      <c r="O282" s="23"/>
    </row>
    <row r="283" spans="1:15" s="48" customFormat="1">
      <c r="A283" s="44"/>
      <c r="B283" s="135"/>
      <c r="C283" s="146" t="s">
        <v>74</v>
      </c>
      <c r="D283" s="282" t="s">
        <v>73</v>
      </c>
      <c r="E283" s="148">
        <v>0.02</v>
      </c>
      <c r="F283" s="148">
        <f>E283*F279</f>
        <v>1.4602E-2</v>
      </c>
      <c r="G283" s="151"/>
      <c r="H283" s="151"/>
      <c r="I283" s="151"/>
      <c r="J283" s="151"/>
      <c r="K283" s="151"/>
      <c r="L283" s="151"/>
      <c r="M283" s="151"/>
      <c r="N283" s="23"/>
      <c r="O283" s="23"/>
    </row>
    <row r="284" spans="1:15">
      <c r="A284" s="69"/>
      <c r="B284" s="131"/>
      <c r="C284" s="146"/>
      <c r="D284" s="282"/>
      <c r="E284" s="57"/>
      <c r="F284" s="57"/>
      <c r="G284" s="151"/>
      <c r="H284" s="122"/>
      <c r="I284" s="122"/>
      <c r="J284" s="122"/>
      <c r="K284" s="122"/>
      <c r="L284" s="122"/>
      <c r="M284" s="122"/>
      <c r="N284" s="23"/>
      <c r="O284" s="23"/>
    </row>
    <row r="285" spans="1:15" s="80" customFormat="1" ht="28">
      <c r="A285" s="66">
        <v>26</v>
      </c>
      <c r="B285" s="134"/>
      <c r="C285" s="67" t="s">
        <v>329</v>
      </c>
      <c r="D285" s="68" t="s">
        <v>22</v>
      </c>
      <c r="E285" s="23"/>
      <c r="F285" s="227">
        <f>'მოცულ. რ.ბ'!K105</f>
        <v>0.50319999999999998</v>
      </c>
      <c r="G285" s="149"/>
      <c r="H285" s="149"/>
      <c r="I285" s="149"/>
      <c r="J285" s="149"/>
      <c r="K285" s="149"/>
      <c r="L285" s="149"/>
      <c r="M285" s="149"/>
      <c r="N285" s="23">
        <f>O285/F285</f>
        <v>0</v>
      </c>
      <c r="O285" s="23">
        <f>SUM(M286:M293)</f>
        <v>0</v>
      </c>
    </row>
    <row r="286" spans="1:15" s="48" customFormat="1">
      <c r="A286" s="44"/>
      <c r="B286" s="132" t="s">
        <v>75</v>
      </c>
      <c r="C286" s="56" t="s">
        <v>76</v>
      </c>
      <c r="D286" s="60" t="s">
        <v>54</v>
      </c>
      <c r="E286" s="57"/>
      <c r="F286" s="65">
        <f>F285/100</f>
        <v>5.032E-3</v>
      </c>
      <c r="G286" s="122"/>
      <c r="H286" s="122"/>
      <c r="I286" s="122"/>
      <c r="J286" s="122"/>
      <c r="K286" s="122"/>
      <c r="L286" s="122"/>
      <c r="M286" s="122"/>
      <c r="N286" s="23"/>
      <c r="O286" s="23"/>
    </row>
    <row r="287" spans="1:15">
      <c r="A287" s="69"/>
      <c r="B287" s="136" t="s">
        <v>59</v>
      </c>
      <c r="C287" s="56" t="s">
        <v>49</v>
      </c>
      <c r="D287" s="22" t="s">
        <v>22</v>
      </c>
      <c r="E287" s="57">
        <v>100</v>
      </c>
      <c r="F287" s="57">
        <f>E287*F286</f>
        <v>0.50319999999999998</v>
      </c>
      <c r="G287" s="122"/>
      <c r="H287" s="122"/>
      <c r="I287" s="122"/>
      <c r="J287" s="122"/>
      <c r="K287" s="122"/>
      <c r="L287" s="122"/>
      <c r="M287" s="122"/>
      <c r="N287" s="23"/>
      <c r="O287" s="23"/>
    </row>
    <row r="288" spans="1:15">
      <c r="A288" s="69"/>
      <c r="B288" s="132"/>
      <c r="C288" s="56" t="s">
        <v>72</v>
      </c>
      <c r="D288" s="60" t="s">
        <v>73</v>
      </c>
      <c r="E288" s="57">
        <v>77</v>
      </c>
      <c r="F288" s="57">
        <f>E288*F286</f>
        <v>0.38746399999999998</v>
      </c>
      <c r="G288" s="122"/>
      <c r="H288" s="122"/>
      <c r="I288" s="122"/>
      <c r="J288" s="122"/>
      <c r="K288" s="122"/>
      <c r="L288" s="122"/>
      <c r="M288" s="122"/>
      <c r="N288" s="23"/>
      <c r="O288" s="23"/>
    </row>
    <row r="289" spans="1:15">
      <c r="A289" s="69"/>
      <c r="B289" s="137" t="s">
        <v>202</v>
      </c>
      <c r="C289" s="59" t="s">
        <v>173</v>
      </c>
      <c r="D289" s="58" t="s">
        <v>51</v>
      </c>
      <c r="E289" s="57">
        <v>1.03</v>
      </c>
      <c r="F289" s="234">
        <f>((1.85*2*0.85/0.2)+(1.85/0.2*2*0.85))*0.89/1000</f>
        <v>2.7990500000000001E-2</v>
      </c>
      <c r="G289" s="122"/>
      <c r="H289" s="122"/>
      <c r="I289" s="122"/>
      <c r="J289" s="122"/>
      <c r="K289" s="122"/>
      <c r="L289" s="122"/>
      <c r="M289" s="122"/>
      <c r="N289" s="57"/>
      <c r="O289" s="57"/>
    </row>
    <row r="290" spans="1:15">
      <c r="A290" s="69"/>
      <c r="B290" s="131" t="s">
        <v>205</v>
      </c>
      <c r="C290" s="59" t="s">
        <v>330</v>
      </c>
      <c r="D290" s="58" t="s">
        <v>22</v>
      </c>
      <c r="E290" s="57">
        <v>101.5</v>
      </c>
      <c r="F290" s="241">
        <f>E290*F286</f>
        <v>0.51074799999999998</v>
      </c>
      <c r="G290" s="122"/>
      <c r="H290" s="122"/>
      <c r="I290" s="122"/>
      <c r="J290" s="122"/>
      <c r="K290" s="122"/>
      <c r="L290" s="122"/>
      <c r="M290" s="122"/>
      <c r="N290" s="23"/>
      <c r="O290" s="23"/>
    </row>
    <row r="291" spans="1:15">
      <c r="A291" s="69"/>
      <c r="B291" s="131" t="s">
        <v>209</v>
      </c>
      <c r="C291" s="59" t="s">
        <v>97</v>
      </c>
      <c r="D291" s="58" t="s">
        <v>22</v>
      </c>
      <c r="E291" s="57">
        <v>0.08</v>
      </c>
      <c r="F291" s="57">
        <f>E291*F286</f>
        <v>4.0255999999999999E-4</v>
      </c>
      <c r="G291" s="122"/>
      <c r="H291" s="122"/>
      <c r="I291" s="122"/>
      <c r="J291" s="122"/>
      <c r="K291" s="122"/>
      <c r="L291" s="122"/>
      <c r="M291" s="122"/>
      <c r="N291" s="23"/>
      <c r="O291" s="23"/>
    </row>
    <row r="292" spans="1:15">
      <c r="A292" s="69"/>
      <c r="B292" s="131" t="s">
        <v>207</v>
      </c>
      <c r="C292" s="59" t="s">
        <v>98</v>
      </c>
      <c r="D292" s="58" t="s">
        <v>23</v>
      </c>
      <c r="E292" s="57">
        <v>7.54</v>
      </c>
      <c r="F292" s="57">
        <f>E292*F286</f>
        <v>3.7941280000000001E-2</v>
      </c>
      <c r="G292" s="122"/>
      <c r="H292" s="122"/>
      <c r="I292" s="122"/>
      <c r="J292" s="122"/>
      <c r="K292" s="122"/>
      <c r="L292" s="122"/>
      <c r="M292" s="122"/>
      <c r="N292" s="23"/>
      <c r="O292" s="23"/>
    </row>
    <row r="293" spans="1:15">
      <c r="A293" s="69"/>
      <c r="B293" s="131"/>
      <c r="C293" s="146" t="s">
        <v>74</v>
      </c>
      <c r="D293" s="282" t="s">
        <v>73</v>
      </c>
      <c r="E293" s="57">
        <v>7</v>
      </c>
      <c r="F293" s="57">
        <f>E293*F286</f>
        <v>3.5223999999999998E-2</v>
      </c>
      <c r="G293" s="151"/>
      <c r="H293" s="122"/>
      <c r="I293" s="122"/>
      <c r="J293" s="122"/>
      <c r="K293" s="122"/>
      <c r="L293" s="122"/>
      <c r="M293" s="122"/>
      <c r="N293" s="23"/>
      <c r="O293" s="23"/>
    </row>
    <row r="294" spans="1:15">
      <c r="A294" s="69"/>
      <c r="B294" s="131"/>
      <c r="C294" s="337" t="s">
        <v>332</v>
      </c>
      <c r="D294" s="343"/>
      <c r="E294" s="115"/>
      <c r="F294" s="115"/>
      <c r="G294" s="344"/>
      <c r="H294" s="152">
        <f t="shared" ref="H294:L294" si="0">SUM(H267:H293)</f>
        <v>0</v>
      </c>
      <c r="I294" s="152"/>
      <c r="J294" s="152">
        <f t="shared" si="0"/>
        <v>0</v>
      </c>
      <c r="K294" s="152"/>
      <c r="L294" s="152">
        <f t="shared" si="0"/>
        <v>0</v>
      </c>
      <c r="M294" s="152">
        <f>SUM(M267:M293)</f>
        <v>0</v>
      </c>
      <c r="N294" s="23"/>
      <c r="O294" s="23"/>
    </row>
    <row r="295" spans="1:15" ht="14" thickBot="1">
      <c r="A295" s="69"/>
      <c r="B295" s="131"/>
      <c r="C295" s="59"/>
      <c r="D295" s="58"/>
      <c r="E295" s="57"/>
      <c r="F295" s="57"/>
      <c r="G295" s="122"/>
      <c r="H295" s="122"/>
      <c r="I295" s="122"/>
      <c r="J295" s="122"/>
      <c r="K295" s="122"/>
      <c r="L295" s="122"/>
      <c r="M295" s="122"/>
      <c r="N295" s="23"/>
      <c r="O295" s="23"/>
    </row>
    <row r="296" spans="1:15" s="80" customFormat="1" ht="15" thickBot="1">
      <c r="A296" s="66"/>
      <c r="B296" s="140"/>
      <c r="C296" s="113" t="s">
        <v>85</v>
      </c>
      <c r="D296" s="114"/>
      <c r="E296" s="115"/>
      <c r="F296" s="115"/>
      <c r="G296" s="152"/>
      <c r="H296" s="152">
        <f>H43+H103+H164+H226+H263+H294</f>
        <v>0</v>
      </c>
      <c r="I296" s="152"/>
      <c r="J296" s="152">
        <f>J43+J103+J164+J226+J263+J294</f>
        <v>0</v>
      </c>
      <c r="K296" s="152"/>
      <c r="L296" s="152">
        <f>L43+L103+L164+L226+L263+L294</f>
        <v>0</v>
      </c>
      <c r="M296" s="152">
        <f>M43+M103+M164+M226+M263+M294</f>
        <v>0</v>
      </c>
      <c r="N296" s="41"/>
      <c r="O296" s="88">
        <f>SUM(O18:O295)</f>
        <v>0</v>
      </c>
    </row>
    <row r="297" spans="1:15" s="26" customFormat="1" ht="14">
      <c r="A297" s="90"/>
      <c r="B297" s="141"/>
      <c r="C297" s="75" t="s">
        <v>86</v>
      </c>
      <c r="D297" s="89">
        <v>0.01</v>
      </c>
      <c r="E297" s="76"/>
      <c r="F297" s="76"/>
      <c r="G297" s="76"/>
      <c r="H297" s="76"/>
      <c r="I297" s="76"/>
      <c r="J297" s="76"/>
      <c r="K297" s="76"/>
      <c r="L297" s="76"/>
      <c r="M297" s="77">
        <f>(H296)*D297</f>
        <v>0</v>
      </c>
      <c r="N297" s="25"/>
      <c r="O297" s="25"/>
    </row>
    <row r="298" spans="1:15" s="26" customFormat="1" ht="14">
      <c r="A298" s="90"/>
      <c r="B298" s="141"/>
      <c r="C298" s="75" t="s">
        <v>87</v>
      </c>
      <c r="D298" s="89"/>
      <c r="E298" s="76"/>
      <c r="F298" s="76"/>
      <c r="G298" s="76"/>
      <c r="H298" s="76"/>
      <c r="I298" s="76"/>
      <c r="J298" s="76"/>
      <c r="K298" s="76"/>
      <c r="L298" s="76"/>
      <c r="M298" s="77">
        <f>M296+M297</f>
        <v>0</v>
      </c>
      <c r="N298" s="25"/>
      <c r="O298" s="25"/>
    </row>
    <row r="299" spans="1:15" s="26" customFormat="1" ht="14">
      <c r="A299" s="90"/>
      <c r="B299" s="141"/>
      <c r="C299" s="75" t="s">
        <v>88</v>
      </c>
      <c r="D299" s="89">
        <v>0.01</v>
      </c>
      <c r="E299" s="76"/>
      <c r="F299" s="76"/>
      <c r="G299" s="76"/>
      <c r="H299" s="76"/>
      <c r="I299" s="76"/>
      <c r="J299" s="76"/>
      <c r="K299" s="76"/>
      <c r="L299" s="76"/>
      <c r="M299" s="77">
        <f>(M298)*D299</f>
        <v>0</v>
      </c>
      <c r="N299" s="25"/>
      <c r="O299" s="25"/>
    </row>
    <row r="300" spans="1:15" s="26" customFormat="1" ht="14">
      <c r="A300" s="90"/>
      <c r="B300" s="141"/>
      <c r="C300" s="75" t="s">
        <v>87</v>
      </c>
      <c r="D300" s="74"/>
      <c r="E300" s="76"/>
      <c r="F300" s="76"/>
      <c r="G300" s="76"/>
      <c r="H300" s="76"/>
      <c r="I300" s="76"/>
      <c r="J300" s="76"/>
      <c r="K300" s="76"/>
      <c r="L300" s="76"/>
      <c r="M300" s="77">
        <f>M299+M298</f>
        <v>0</v>
      </c>
      <c r="N300" s="25"/>
      <c r="O300" s="25"/>
    </row>
    <row r="301" spans="1:15" s="26" customFormat="1" ht="14">
      <c r="A301" s="90"/>
      <c r="B301" s="141"/>
      <c r="C301" s="75" t="s">
        <v>89</v>
      </c>
      <c r="D301" s="89">
        <v>0.01</v>
      </c>
      <c r="E301" s="76"/>
      <c r="F301" s="76"/>
      <c r="G301" s="76"/>
      <c r="H301" s="76"/>
      <c r="I301" s="76"/>
      <c r="J301" s="76"/>
      <c r="K301" s="76"/>
      <c r="L301" s="76"/>
      <c r="M301" s="77">
        <f>M300*D301</f>
        <v>0</v>
      </c>
      <c r="N301" s="25"/>
      <c r="O301" s="25"/>
    </row>
    <row r="302" spans="1:15" s="91" customFormat="1" ht="14">
      <c r="A302" s="90"/>
      <c r="B302" s="142"/>
      <c r="C302" s="116" t="s">
        <v>87</v>
      </c>
      <c r="D302" s="117"/>
      <c r="E302" s="118"/>
      <c r="F302" s="118"/>
      <c r="G302" s="118"/>
      <c r="H302" s="118"/>
      <c r="I302" s="118"/>
      <c r="J302" s="118"/>
      <c r="K302" s="118"/>
      <c r="L302" s="118"/>
      <c r="M302" s="123">
        <f>M301+M300</f>
        <v>0</v>
      </c>
      <c r="N302" s="25"/>
      <c r="O302" s="25">
        <f>M302*1.18</f>
        <v>0</v>
      </c>
    </row>
    <row r="303" spans="1:15" s="91" customFormat="1">
      <c r="A303" s="111"/>
      <c r="B303" s="143"/>
      <c r="C303" s="92"/>
      <c r="D303" s="36"/>
      <c r="E303" s="93"/>
      <c r="F303" s="93"/>
      <c r="G303" s="93"/>
      <c r="H303" s="93"/>
      <c r="I303" s="93"/>
      <c r="J303" s="93"/>
      <c r="K303" s="93"/>
      <c r="L303" s="93"/>
      <c r="M303" s="93"/>
      <c r="N303" s="25"/>
      <c r="O303" s="25"/>
    </row>
    <row r="304" spans="1:15">
      <c r="A304" s="94"/>
      <c r="B304" s="144"/>
      <c r="C304" s="95"/>
      <c r="E304" s="97"/>
      <c r="F304" s="97"/>
      <c r="G304" s="97"/>
      <c r="H304" s="97"/>
      <c r="I304" s="97"/>
      <c r="J304" s="97"/>
      <c r="K304" s="97"/>
      <c r="L304" s="97"/>
      <c r="M304" s="97"/>
    </row>
    <row r="305" spans="1:13">
      <c r="A305" s="94"/>
      <c r="B305" s="144"/>
      <c r="C305" s="95"/>
      <c r="E305" s="97"/>
      <c r="F305" s="97"/>
      <c r="G305" s="97"/>
      <c r="H305" s="97"/>
      <c r="I305" s="97"/>
      <c r="J305" s="97"/>
      <c r="K305" s="97"/>
      <c r="L305" s="97"/>
      <c r="M305" s="97"/>
    </row>
    <row r="306" spans="1:13">
      <c r="A306" s="94"/>
      <c r="B306" s="144"/>
      <c r="C306" s="95"/>
      <c r="E306" s="97"/>
      <c r="F306" s="97"/>
      <c r="G306" s="97"/>
      <c r="H306" s="97"/>
      <c r="I306" s="97"/>
      <c r="J306" s="97"/>
      <c r="K306" s="97"/>
      <c r="L306" s="97"/>
      <c r="M306" s="97"/>
    </row>
    <row r="307" spans="1:13">
      <c r="A307" s="94"/>
      <c r="B307" s="144"/>
      <c r="C307" s="95"/>
      <c r="E307" s="97"/>
      <c r="F307" s="97"/>
      <c r="G307" s="97"/>
      <c r="H307" s="97"/>
      <c r="I307" s="97"/>
      <c r="J307" s="97"/>
      <c r="K307" s="97"/>
      <c r="L307" s="97"/>
      <c r="M307" s="97"/>
    </row>
    <row r="308" spans="1:13">
      <c r="A308" s="94"/>
      <c r="B308" s="144"/>
      <c r="C308" s="95"/>
      <c r="E308" s="97"/>
      <c r="F308" s="97"/>
      <c r="G308" s="97"/>
      <c r="H308" s="97"/>
      <c r="I308" s="97"/>
      <c r="J308" s="97"/>
      <c r="K308" s="97"/>
      <c r="L308" s="97"/>
      <c r="M308" s="97"/>
    </row>
    <row r="309" spans="1:13">
      <c r="A309" s="94"/>
      <c r="B309" s="144"/>
      <c r="C309" s="95"/>
      <c r="E309" s="97"/>
      <c r="F309" s="97"/>
      <c r="G309" s="97"/>
      <c r="H309" s="97"/>
      <c r="I309" s="97"/>
      <c r="J309" s="97"/>
      <c r="K309" s="97"/>
      <c r="L309" s="97"/>
      <c r="M309" s="97"/>
    </row>
    <row r="315" spans="1:13" ht="14">
      <c r="C315" s="335" t="s">
        <v>320</v>
      </c>
      <c r="D315" s="329" t="s">
        <v>22</v>
      </c>
      <c r="E315" s="339">
        <v>1</v>
      </c>
      <c r="F315" s="340">
        <v>37.200000000000003</v>
      </c>
    </row>
    <row r="316" spans="1:13" ht="14">
      <c r="C316" s="341" t="s">
        <v>321</v>
      </c>
      <c r="D316" s="329" t="s">
        <v>22</v>
      </c>
      <c r="E316" s="339">
        <v>1</v>
      </c>
      <c r="F316" s="340">
        <v>17.899999999999999</v>
      </c>
    </row>
  </sheetData>
  <autoFilter ref="A16:M304" xr:uid="{00000000-0009-0000-0000-000004000000}"/>
  <mergeCells count="15">
    <mergeCell ref="I14:J14"/>
    <mergeCell ref="K14:L14"/>
    <mergeCell ref="M14:M15"/>
    <mergeCell ref="A14:A15"/>
    <mergeCell ref="B14:B15"/>
    <mergeCell ref="C14:C15"/>
    <mergeCell ref="D14:D15"/>
    <mergeCell ref="E14:F14"/>
    <mergeCell ref="G14:H14"/>
    <mergeCell ref="A9:M9"/>
    <mergeCell ref="A2:M2"/>
    <mergeCell ref="A3:M3"/>
    <mergeCell ref="A4:M4"/>
    <mergeCell ref="A5:M5"/>
    <mergeCell ref="A7:M7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4"/>
  <sheetViews>
    <sheetView view="pageBreakPreview" topLeftCell="A21" zoomScaleNormal="100" zoomScaleSheetLayoutView="100" workbookViewId="0">
      <selection activeCell="J24" sqref="J24"/>
    </sheetView>
  </sheetViews>
  <sheetFormatPr baseColWidth="10" defaultColWidth="8.83203125" defaultRowHeight="15"/>
  <cols>
    <col min="2" max="2" width="11.33203125" customWidth="1"/>
    <col min="3" max="3" width="51.6640625" customWidth="1"/>
  </cols>
  <sheetData>
    <row r="1" spans="1:15" s="21" customFormat="1" ht="30.75" customHeight="1">
      <c r="A1" s="440" t="s">
        <v>135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25"/>
      <c r="O1" s="25"/>
    </row>
    <row r="2" spans="1:15" s="21" customFormat="1" ht="13">
      <c r="A2" s="424" t="s">
        <v>25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25"/>
      <c r="O2" s="25"/>
    </row>
    <row r="3" spans="1:15" s="26" customFormat="1" ht="13">
      <c r="A3" s="426" t="s">
        <v>136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25"/>
      <c r="O3" s="25"/>
    </row>
    <row r="4" spans="1:15" s="21" customFormat="1" ht="13">
      <c r="A4" s="429" t="s">
        <v>32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27"/>
      <c r="O4" s="27"/>
    </row>
    <row r="5" spans="1:15" s="26" customFormat="1" ht="13">
      <c r="A5" s="323"/>
      <c r="B5" s="28"/>
      <c r="C5" s="364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25"/>
    </row>
    <row r="6" spans="1:15" s="153" customFormat="1" ht="13">
      <c r="A6" s="439" t="s">
        <v>427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</row>
    <row r="7" spans="1:15" s="153" customFormat="1" ht="13">
      <c r="A7" s="439" t="s">
        <v>378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5" s="153" customFormat="1" ht="13">
      <c r="A8" s="324"/>
      <c r="B8" s="78"/>
      <c r="C8" s="154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5" s="20" customFormat="1" ht="15" customHeight="1">
      <c r="A9" s="435" t="s">
        <v>26</v>
      </c>
      <c r="B9" s="435"/>
      <c r="C9" s="435"/>
      <c r="D9" s="363"/>
      <c r="E9" s="363"/>
      <c r="F9" s="363"/>
      <c r="G9" s="363"/>
      <c r="H9" s="363"/>
      <c r="I9" s="363" t="s">
        <v>27</v>
      </c>
      <c r="J9" s="363"/>
      <c r="K9" s="363"/>
      <c r="L9" s="155">
        <f>M64/1000</f>
        <v>0</v>
      </c>
      <c r="M9" s="363" t="s">
        <v>28</v>
      </c>
    </row>
    <row r="10" spans="1:15" s="158" customFormat="1" ht="13">
      <c r="A10" s="436"/>
      <c r="B10" s="436"/>
      <c r="C10" s="436"/>
      <c r="D10" s="156"/>
      <c r="E10" s="156"/>
      <c r="F10" s="156"/>
      <c r="G10" s="363"/>
      <c r="H10" s="363"/>
      <c r="I10" s="156"/>
      <c r="J10" s="363" t="s">
        <v>36</v>
      </c>
      <c r="K10" s="363"/>
      <c r="L10" s="157">
        <f>J58/1000</f>
        <v>0</v>
      </c>
      <c r="M10" s="363" t="s">
        <v>28</v>
      </c>
    </row>
    <row r="11" spans="1:15" s="153" customFormat="1" ht="13">
      <c r="A11" s="324"/>
      <c r="B11" s="78"/>
      <c r="C11" s="173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5" s="159" customFormat="1" ht="33" customHeight="1">
      <c r="A12" s="437" t="s">
        <v>29</v>
      </c>
      <c r="B12" s="438" t="s">
        <v>90</v>
      </c>
      <c r="C12" s="438" t="s">
        <v>31</v>
      </c>
      <c r="D12" s="438" t="s">
        <v>121</v>
      </c>
      <c r="E12" s="438" t="s">
        <v>122</v>
      </c>
      <c r="F12" s="438"/>
      <c r="G12" s="434" t="s">
        <v>123</v>
      </c>
      <c r="H12" s="434"/>
      <c r="I12" s="434" t="s">
        <v>43</v>
      </c>
      <c r="J12" s="434"/>
      <c r="K12" s="434" t="s">
        <v>124</v>
      </c>
      <c r="L12" s="434"/>
      <c r="M12" s="434" t="s">
        <v>30</v>
      </c>
    </row>
    <row r="13" spans="1:15" s="159" customFormat="1" ht="27" customHeight="1">
      <c r="A13" s="437"/>
      <c r="B13" s="438"/>
      <c r="C13" s="438"/>
      <c r="D13" s="438"/>
      <c r="E13" s="367" t="s">
        <v>125</v>
      </c>
      <c r="F13" s="367" t="s">
        <v>1</v>
      </c>
      <c r="G13" s="365" t="s">
        <v>125</v>
      </c>
      <c r="H13" s="365" t="s">
        <v>1</v>
      </c>
      <c r="I13" s="365" t="s">
        <v>125</v>
      </c>
      <c r="J13" s="365" t="s">
        <v>1</v>
      </c>
      <c r="K13" s="365" t="s">
        <v>125</v>
      </c>
      <c r="L13" s="365" t="s">
        <v>1</v>
      </c>
      <c r="M13" s="434"/>
    </row>
    <row r="14" spans="1:15" s="161" customFormat="1" ht="13">
      <c r="A14" s="366">
        <v>1</v>
      </c>
      <c r="B14" s="160">
        <v>2</v>
      </c>
      <c r="C14" s="160">
        <v>3</v>
      </c>
      <c r="D14" s="160">
        <v>4</v>
      </c>
      <c r="E14" s="160">
        <v>5</v>
      </c>
      <c r="F14" s="160">
        <v>6</v>
      </c>
      <c r="G14" s="160">
        <v>9</v>
      </c>
      <c r="H14" s="160">
        <v>10</v>
      </c>
      <c r="I14" s="160">
        <v>7</v>
      </c>
      <c r="J14" s="160">
        <v>8</v>
      </c>
      <c r="K14" s="160">
        <v>11</v>
      </c>
      <c r="L14" s="160">
        <v>12</v>
      </c>
      <c r="M14" s="160">
        <v>13</v>
      </c>
    </row>
    <row r="15" spans="1:15" s="53" customFormat="1" ht="28">
      <c r="A15" s="49">
        <v>1</v>
      </c>
      <c r="B15" s="130"/>
      <c r="C15" s="417" t="s">
        <v>155</v>
      </c>
      <c r="D15" s="50" t="s">
        <v>22</v>
      </c>
      <c r="E15" s="52"/>
      <c r="F15" s="229">
        <f>30*0.6*1.8</f>
        <v>32.4</v>
      </c>
      <c r="G15" s="149"/>
      <c r="H15" s="149"/>
      <c r="I15" s="149"/>
      <c r="J15" s="149"/>
      <c r="K15" s="149"/>
      <c r="L15" s="149"/>
      <c r="M15" s="149"/>
    </row>
    <row r="16" spans="1:15" s="48" customFormat="1" ht="28">
      <c r="A16" s="54" t="s">
        <v>480</v>
      </c>
      <c r="B16" s="129" t="s">
        <v>46</v>
      </c>
      <c r="C16" s="418" t="s">
        <v>47</v>
      </c>
      <c r="D16" s="45" t="s">
        <v>48</v>
      </c>
      <c r="E16" s="47"/>
      <c r="F16" s="55">
        <f>F15/1000</f>
        <v>3.2399999999999998E-2</v>
      </c>
      <c r="G16" s="150"/>
      <c r="H16" s="150"/>
      <c r="I16" s="150"/>
      <c r="J16" s="150"/>
      <c r="K16" s="150"/>
      <c r="L16" s="150"/>
      <c r="M16" s="150"/>
    </row>
    <row r="17" spans="1:13" s="48" customFormat="1" ht="14">
      <c r="A17" s="44"/>
      <c r="B17" s="129"/>
      <c r="C17" s="419" t="s">
        <v>49</v>
      </c>
      <c r="D17" s="22" t="s">
        <v>50</v>
      </c>
      <c r="E17" s="57">
        <v>20</v>
      </c>
      <c r="F17" s="57">
        <f>E17*F16</f>
        <v>0.64799999999999991</v>
      </c>
      <c r="G17" s="122"/>
      <c r="H17" s="122"/>
      <c r="I17" s="122"/>
      <c r="J17" s="122"/>
      <c r="K17" s="122"/>
      <c r="L17" s="122"/>
      <c r="M17" s="122"/>
    </row>
    <row r="18" spans="1:13" s="48" customFormat="1" ht="14">
      <c r="A18" s="44"/>
      <c r="B18" s="131" t="s">
        <v>197</v>
      </c>
      <c r="C18" s="420" t="s">
        <v>92</v>
      </c>
      <c r="D18" s="58" t="s">
        <v>62</v>
      </c>
      <c r="E18" s="47">
        <v>44.8</v>
      </c>
      <c r="F18" s="47">
        <f>E18*F16</f>
        <v>1.4515199999999999</v>
      </c>
      <c r="G18" s="150"/>
      <c r="H18" s="150"/>
      <c r="I18" s="150"/>
      <c r="J18" s="150"/>
      <c r="K18" s="150"/>
      <c r="L18" s="122"/>
      <c r="M18" s="122"/>
    </row>
    <row r="19" spans="1:13" s="48" customFormat="1" ht="14">
      <c r="A19" s="44"/>
      <c r="B19" s="132"/>
      <c r="C19" s="419" t="s">
        <v>72</v>
      </c>
      <c r="D19" s="60" t="s">
        <v>73</v>
      </c>
      <c r="E19" s="57">
        <v>2.1</v>
      </c>
      <c r="F19" s="57">
        <f>E19*F16</f>
        <v>6.8040000000000003E-2</v>
      </c>
      <c r="G19" s="122"/>
      <c r="H19" s="122"/>
      <c r="I19" s="122"/>
      <c r="J19" s="122"/>
      <c r="K19" s="122"/>
      <c r="L19" s="122"/>
      <c r="M19" s="122"/>
    </row>
    <row r="20" spans="1:13" s="48" customFormat="1" ht="14">
      <c r="A20" s="54">
        <v>1.2</v>
      </c>
      <c r="B20" s="132"/>
      <c r="C20" s="419" t="s">
        <v>475</v>
      </c>
      <c r="D20" s="60" t="s">
        <v>51</v>
      </c>
      <c r="E20" s="57">
        <v>1.8</v>
      </c>
      <c r="F20" s="57">
        <f>E20*F15</f>
        <v>58.32</v>
      </c>
      <c r="G20" s="122"/>
      <c r="H20" s="122"/>
      <c r="I20" s="122"/>
      <c r="J20" s="122"/>
      <c r="K20" s="122"/>
      <c r="L20" s="122"/>
      <c r="M20" s="122"/>
    </row>
    <row r="21" spans="1:13" s="48" customFormat="1" ht="14">
      <c r="A21" s="44"/>
      <c r="B21" s="133" t="s">
        <v>187</v>
      </c>
      <c r="C21" s="421" t="s">
        <v>200</v>
      </c>
      <c r="D21" s="61" t="s">
        <v>51</v>
      </c>
      <c r="E21" s="57">
        <v>1</v>
      </c>
      <c r="F21" s="57">
        <f>E21*F20</f>
        <v>58.32</v>
      </c>
      <c r="G21" s="122"/>
      <c r="H21" s="122"/>
      <c r="I21" s="122"/>
      <c r="J21" s="122"/>
      <c r="K21" s="122"/>
      <c r="L21" s="122"/>
      <c r="M21" s="122"/>
    </row>
    <row r="22" spans="1:13" s="48" customFormat="1" ht="14">
      <c r="A22" s="49">
        <v>2</v>
      </c>
      <c r="B22" s="132"/>
      <c r="C22" s="417" t="s">
        <v>113</v>
      </c>
      <c r="D22" s="63" t="s">
        <v>22</v>
      </c>
      <c r="E22" s="23"/>
      <c r="F22" s="23">
        <f>F15*25%*7%</f>
        <v>0.56700000000000006</v>
      </c>
      <c r="G22" s="149"/>
      <c r="H22" s="149"/>
      <c r="I22" s="149"/>
      <c r="J22" s="149"/>
      <c r="K22" s="149"/>
      <c r="L22" s="149"/>
      <c r="M22" s="149"/>
    </row>
    <row r="23" spans="1:13" s="53" customFormat="1" ht="14">
      <c r="A23" s="54">
        <v>2.1</v>
      </c>
      <c r="B23" s="132" t="s">
        <v>52</v>
      </c>
      <c r="C23" s="418" t="s">
        <v>53</v>
      </c>
      <c r="D23" s="60" t="s">
        <v>54</v>
      </c>
      <c r="E23" s="57"/>
      <c r="F23" s="65">
        <f>F22/100</f>
        <v>5.6700000000000006E-3</v>
      </c>
      <c r="G23" s="149"/>
      <c r="H23" s="149"/>
      <c r="I23" s="149"/>
      <c r="J23" s="149"/>
      <c r="K23" s="149"/>
      <c r="L23" s="149"/>
      <c r="M23" s="149"/>
    </row>
    <row r="24" spans="1:13" s="48" customFormat="1" ht="14">
      <c r="A24" s="44"/>
      <c r="B24" s="132"/>
      <c r="C24" s="419" t="s">
        <v>49</v>
      </c>
      <c r="D24" s="22" t="s">
        <v>50</v>
      </c>
      <c r="E24" s="57">
        <v>206</v>
      </c>
      <c r="F24" s="57">
        <f>E24*F23</f>
        <v>1.1680200000000001</v>
      </c>
      <c r="G24" s="122"/>
      <c r="H24" s="122"/>
      <c r="I24" s="122"/>
      <c r="J24" s="122"/>
      <c r="K24" s="122"/>
      <c r="L24" s="122"/>
      <c r="M24" s="122"/>
    </row>
    <row r="25" spans="1:13" s="53" customFormat="1" ht="14">
      <c r="A25" s="49">
        <v>3</v>
      </c>
      <c r="B25" s="134"/>
      <c r="C25" s="422" t="s">
        <v>67</v>
      </c>
      <c r="D25" s="63" t="s">
        <v>22</v>
      </c>
      <c r="E25" s="23"/>
      <c r="F25" s="23">
        <f>F15-F32-F44*1.2*3.14*1.2/4</f>
        <v>21.369599999999998</v>
      </c>
      <c r="G25" s="149"/>
      <c r="H25" s="149"/>
      <c r="I25" s="149"/>
      <c r="J25" s="149"/>
      <c r="K25" s="149"/>
      <c r="L25" s="149"/>
      <c r="M25" s="149"/>
    </row>
    <row r="26" spans="1:13" s="53" customFormat="1" ht="14">
      <c r="A26" s="54">
        <v>3.1</v>
      </c>
      <c r="B26" s="132" t="s">
        <v>68</v>
      </c>
      <c r="C26" s="418" t="s">
        <v>69</v>
      </c>
      <c r="D26" s="60" t="s">
        <v>54</v>
      </c>
      <c r="E26" s="57"/>
      <c r="F26" s="65">
        <f>F25/100</f>
        <v>0.213696</v>
      </c>
      <c r="G26" s="149"/>
      <c r="H26" s="149"/>
      <c r="I26" s="149"/>
      <c r="J26" s="149"/>
      <c r="K26" s="149"/>
      <c r="L26" s="149"/>
      <c r="M26" s="149"/>
    </row>
    <row r="27" spans="1:13" s="48" customFormat="1" ht="14">
      <c r="A27" s="44"/>
      <c r="B27" s="132"/>
      <c r="C27" s="419" t="s">
        <v>49</v>
      </c>
      <c r="D27" s="22" t="s">
        <v>50</v>
      </c>
      <c r="E27" s="57">
        <v>99.3</v>
      </c>
      <c r="F27" s="57">
        <f>E27*F26</f>
        <v>21.220012799999999</v>
      </c>
      <c r="G27" s="122"/>
      <c r="H27" s="122"/>
      <c r="I27" s="122"/>
      <c r="J27" s="122"/>
      <c r="K27" s="122"/>
      <c r="L27" s="122"/>
      <c r="M27" s="122"/>
    </row>
    <row r="28" spans="1:13" s="48" customFormat="1" ht="28">
      <c r="A28" s="54">
        <v>3.2</v>
      </c>
      <c r="B28" s="132" t="s">
        <v>70</v>
      </c>
      <c r="C28" s="419" t="s">
        <v>71</v>
      </c>
      <c r="D28" s="60" t="s">
        <v>54</v>
      </c>
      <c r="E28" s="57"/>
      <c r="F28" s="65">
        <f>F25/100</f>
        <v>0.213696</v>
      </c>
      <c r="G28" s="122"/>
      <c r="H28" s="122"/>
      <c r="I28" s="122"/>
      <c r="J28" s="122"/>
      <c r="K28" s="122"/>
      <c r="L28" s="122"/>
      <c r="M28" s="122"/>
    </row>
    <row r="29" spans="1:13" s="48" customFormat="1" ht="14">
      <c r="A29" s="44"/>
      <c r="B29" s="129"/>
      <c r="C29" s="419" t="s">
        <v>49</v>
      </c>
      <c r="D29" s="22" t="s">
        <v>50</v>
      </c>
      <c r="E29" s="57">
        <v>11.2</v>
      </c>
      <c r="F29" s="57">
        <f>E29*F28</f>
        <v>2.3933951999999996</v>
      </c>
      <c r="G29" s="122"/>
      <c r="H29" s="122"/>
      <c r="I29" s="122"/>
      <c r="J29" s="122"/>
      <c r="K29" s="122"/>
      <c r="L29" s="122"/>
      <c r="M29" s="122"/>
    </row>
    <row r="30" spans="1:13" s="48" customFormat="1" ht="14">
      <c r="A30" s="44"/>
      <c r="B30" s="131" t="s">
        <v>199</v>
      </c>
      <c r="C30" s="420" t="s">
        <v>91</v>
      </c>
      <c r="D30" s="58" t="s">
        <v>62</v>
      </c>
      <c r="E30" s="47">
        <f>E31/4</f>
        <v>2.7250000000000001</v>
      </c>
      <c r="F30" s="47">
        <f>E30*F28</f>
        <v>0.58232159999999999</v>
      </c>
      <c r="G30" s="150"/>
      <c r="H30" s="150"/>
      <c r="I30" s="150"/>
      <c r="J30" s="150"/>
      <c r="K30" s="150"/>
      <c r="L30" s="122"/>
      <c r="M30" s="122"/>
    </row>
    <row r="31" spans="1:13" s="48" customFormat="1" ht="14">
      <c r="A31" s="44"/>
      <c r="B31" s="132" t="s">
        <v>119</v>
      </c>
      <c r="C31" s="419" t="s">
        <v>94</v>
      </c>
      <c r="D31" s="60" t="s">
        <v>62</v>
      </c>
      <c r="E31" s="57">
        <v>10.9</v>
      </c>
      <c r="F31" s="57">
        <f>E31*F28</f>
        <v>2.3292864</v>
      </c>
      <c r="G31" s="122"/>
      <c r="H31" s="122"/>
      <c r="I31" s="122"/>
      <c r="J31" s="122"/>
      <c r="K31" s="122"/>
      <c r="L31" s="122"/>
      <c r="M31" s="122"/>
    </row>
    <row r="32" spans="1:13" s="381" customFormat="1" ht="28">
      <c r="A32" s="372">
        <v>4</v>
      </c>
      <c r="B32" s="373" t="s">
        <v>439</v>
      </c>
      <c r="C32" s="371" t="s">
        <v>440</v>
      </c>
      <c r="D32" s="370" t="s">
        <v>22</v>
      </c>
      <c r="E32" s="375"/>
      <c r="F32" s="382">
        <f>F36*0.6*(0.1+0.15+0.3)</f>
        <v>9.9</v>
      </c>
      <c r="G32" s="375"/>
      <c r="H32" s="375"/>
      <c r="I32" s="375"/>
      <c r="J32" s="375"/>
      <c r="K32" s="375"/>
      <c r="L32" s="375"/>
      <c r="M32" s="375"/>
    </row>
    <row r="33" spans="1:13" s="381" customFormat="1" ht="13">
      <c r="A33" s="372"/>
      <c r="B33" s="373"/>
      <c r="C33" s="378"/>
      <c r="D33" s="372" t="s">
        <v>441</v>
      </c>
      <c r="E33" s="375"/>
      <c r="F33" s="376">
        <f>F32/10</f>
        <v>0.99</v>
      </c>
      <c r="G33" s="375"/>
      <c r="H33" s="375"/>
      <c r="I33" s="375"/>
      <c r="J33" s="375"/>
      <c r="K33" s="375"/>
      <c r="L33" s="375"/>
      <c r="M33" s="375"/>
    </row>
    <row r="34" spans="1:13" s="381" customFormat="1" ht="14">
      <c r="A34" s="372"/>
      <c r="B34" s="373"/>
      <c r="C34" s="378" t="s">
        <v>296</v>
      </c>
      <c r="D34" s="372" t="s">
        <v>50</v>
      </c>
      <c r="E34" s="375">
        <v>18</v>
      </c>
      <c r="F34" s="383">
        <f>F33*E34</f>
        <v>17.82</v>
      </c>
      <c r="G34" s="375"/>
      <c r="H34" s="377"/>
      <c r="I34" s="383"/>
      <c r="J34" s="375"/>
      <c r="K34" s="375"/>
      <c r="L34" s="375"/>
      <c r="M34" s="375"/>
    </row>
    <row r="35" spans="1:13" s="384" customFormat="1" ht="14">
      <c r="A35" s="372"/>
      <c r="B35" s="380" t="s">
        <v>442</v>
      </c>
      <c r="C35" s="374" t="s">
        <v>443</v>
      </c>
      <c r="D35" s="372" t="s">
        <v>22</v>
      </c>
      <c r="E35" s="375">
        <v>11</v>
      </c>
      <c r="F35" s="383">
        <f>F33*E35</f>
        <v>10.89</v>
      </c>
      <c r="G35" s="375"/>
      <c r="H35" s="375"/>
      <c r="I35" s="375"/>
      <c r="J35" s="375"/>
      <c r="K35" s="375"/>
      <c r="L35" s="375"/>
      <c r="M35" s="375"/>
    </row>
    <row r="36" spans="1:13" s="389" customFormat="1">
      <c r="A36" s="385">
        <v>5</v>
      </c>
      <c r="B36" s="386"/>
      <c r="C36" s="387" t="s">
        <v>487</v>
      </c>
      <c r="D36" s="386" t="s">
        <v>20</v>
      </c>
      <c r="E36" s="388"/>
      <c r="F36" s="2">
        <v>30</v>
      </c>
      <c r="G36" s="385"/>
      <c r="H36" s="388"/>
      <c r="I36" s="388"/>
      <c r="J36" s="388"/>
      <c r="K36" s="388"/>
      <c r="L36" s="388"/>
      <c r="M36" s="388"/>
    </row>
    <row r="37" spans="1:13" s="381" customFormat="1" ht="13">
      <c r="A37" s="372"/>
      <c r="B37" s="373" t="s">
        <v>444</v>
      </c>
      <c r="C37" s="374"/>
      <c r="D37" s="372" t="s">
        <v>445</v>
      </c>
      <c r="E37" s="375"/>
      <c r="F37" s="376">
        <f>F36/1000</f>
        <v>0.03</v>
      </c>
      <c r="G37" s="375"/>
      <c r="H37" s="377"/>
      <c r="I37" s="375"/>
      <c r="J37" s="375"/>
      <c r="K37" s="375"/>
      <c r="L37" s="375"/>
      <c r="M37" s="375"/>
    </row>
    <row r="38" spans="1:13" s="381" customFormat="1" ht="14">
      <c r="A38" s="372"/>
      <c r="B38" s="373"/>
      <c r="C38" s="378" t="s">
        <v>296</v>
      </c>
      <c r="D38" s="372" t="s">
        <v>50</v>
      </c>
      <c r="E38" s="375">
        <v>95.9</v>
      </c>
      <c r="F38" s="375">
        <f>F37*E38</f>
        <v>2.8770000000000002</v>
      </c>
      <c r="G38" s="375"/>
      <c r="H38" s="377"/>
      <c r="I38" s="375"/>
      <c r="J38" s="375"/>
      <c r="K38" s="375"/>
      <c r="L38" s="375"/>
      <c r="M38" s="375"/>
    </row>
    <row r="39" spans="1:13" s="381" customFormat="1" ht="14">
      <c r="A39" s="372"/>
      <c r="B39" s="379"/>
      <c r="C39" s="378" t="s">
        <v>72</v>
      </c>
      <c r="D39" s="372" t="s">
        <v>73</v>
      </c>
      <c r="E39" s="375">
        <v>45.2</v>
      </c>
      <c r="F39" s="375">
        <f>F37*E39</f>
        <v>1.3560000000000001</v>
      </c>
      <c r="G39" s="375"/>
      <c r="H39" s="375"/>
      <c r="I39" s="375"/>
      <c r="J39" s="375"/>
      <c r="K39" s="375"/>
      <c r="L39" s="375"/>
      <c r="M39" s="375"/>
    </row>
    <row r="40" spans="1:13" s="384" customFormat="1" ht="14">
      <c r="A40" s="372"/>
      <c r="B40" s="380" t="s">
        <v>477</v>
      </c>
      <c r="C40" s="378" t="s">
        <v>487</v>
      </c>
      <c r="D40" s="372" t="s">
        <v>20</v>
      </c>
      <c r="E40" s="375">
        <v>1010</v>
      </c>
      <c r="F40" s="375">
        <f>F37*E40</f>
        <v>30.299999999999997</v>
      </c>
      <c r="G40" s="375"/>
      <c r="H40" s="375"/>
      <c r="I40" s="375"/>
      <c r="J40" s="375"/>
      <c r="K40" s="375"/>
      <c r="L40" s="375"/>
      <c r="M40" s="375"/>
    </row>
    <row r="41" spans="1:13" s="381" customFormat="1" ht="14">
      <c r="A41" s="372"/>
      <c r="B41" s="379"/>
      <c r="C41" s="378" t="s">
        <v>74</v>
      </c>
      <c r="D41" s="372" t="s">
        <v>73</v>
      </c>
      <c r="E41" s="375">
        <v>0.6</v>
      </c>
      <c r="F41" s="375">
        <f>F37*E41</f>
        <v>1.7999999999999999E-2</v>
      </c>
      <c r="G41" s="375"/>
      <c r="H41" s="375"/>
      <c r="I41" s="375"/>
      <c r="J41" s="375"/>
      <c r="K41" s="375"/>
      <c r="L41" s="375"/>
      <c r="M41" s="375"/>
    </row>
    <row r="42" spans="1:13" s="48" customFormat="1" ht="14">
      <c r="A42" s="44"/>
      <c r="B42" s="132"/>
      <c r="C42" s="419" t="s">
        <v>478</v>
      </c>
      <c r="D42" s="60" t="s">
        <v>479</v>
      </c>
      <c r="E42" s="57"/>
      <c r="F42" s="57">
        <f>H40</f>
        <v>0</v>
      </c>
      <c r="G42" s="122"/>
      <c r="H42" s="375"/>
      <c r="I42" s="375"/>
      <c r="J42" s="375"/>
      <c r="K42" s="375"/>
      <c r="L42" s="375"/>
      <c r="M42" s="375"/>
    </row>
    <row r="43" spans="1:13" s="48" customFormat="1" ht="13">
      <c r="A43" s="44"/>
      <c r="B43" s="132"/>
      <c r="C43" s="419"/>
      <c r="D43" s="60"/>
      <c r="E43" s="57"/>
      <c r="F43" s="57"/>
      <c r="G43" s="122"/>
      <c r="H43" s="122"/>
      <c r="I43" s="122"/>
      <c r="J43" s="122"/>
      <c r="K43" s="122"/>
      <c r="L43" s="122"/>
      <c r="M43" s="122"/>
    </row>
    <row r="44" spans="1:13" s="325" customFormat="1" ht="14">
      <c r="A44" s="405">
        <v>6</v>
      </c>
      <c r="B44" s="405"/>
      <c r="C44" s="397" t="s">
        <v>476</v>
      </c>
      <c r="D44" s="74" t="s">
        <v>21</v>
      </c>
      <c r="E44" s="74"/>
      <c r="F44" s="74">
        <v>1</v>
      </c>
      <c r="G44" s="306"/>
      <c r="H44" s="306"/>
      <c r="I44" s="306"/>
      <c r="J44" s="406"/>
      <c r="K44" s="406"/>
      <c r="L44" s="406"/>
      <c r="M44" s="406"/>
    </row>
    <row r="45" spans="1:13" s="331" customFormat="1" ht="26.25" customHeight="1">
      <c r="A45" s="333"/>
      <c r="B45" s="408" t="s">
        <v>459</v>
      </c>
      <c r="C45" s="177" t="s">
        <v>474</v>
      </c>
      <c r="D45" s="74" t="s">
        <v>22</v>
      </c>
      <c r="E45" s="163"/>
      <c r="F45" s="169">
        <f>F44*(3.14/4*1.2*1.2*0.1*2+1.2*3.14*0.1*2+0.3*1.2*1.2*3.14/4)</f>
        <v>1.3188</v>
      </c>
      <c r="G45" s="76"/>
      <c r="H45" s="76"/>
      <c r="I45" s="76"/>
      <c r="J45" s="334"/>
      <c r="K45" s="334"/>
      <c r="L45" s="334"/>
      <c r="M45" s="334"/>
    </row>
    <row r="46" spans="1:13" s="331" customFormat="1" ht="12.75" customHeight="1">
      <c r="A46" s="332"/>
      <c r="B46" s="390"/>
      <c r="C46" s="177"/>
      <c r="D46" s="74" t="s">
        <v>441</v>
      </c>
      <c r="E46" s="76"/>
      <c r="F46" s="167">
        <f>F45/10</f>
        <v>0.13188</v>
      </c>
      <c r="G46" s="76"/>
      <c r="H46" s="76"/>
      <c r="I46" s="76"/>
      <c r="J46" s="334"/>
      <c r="K46" s="334"/>
      <c r="L46" s="334"/>
      <c r="M46" s="334"/>
    </row>
    <row r="47" spans="1:13" s="331" customFormat="1" ht="12.75" customHeight="1">
      <c r="A47" s="333"/>
      <c r="B47" s="408"/>
      <c r="C47" s="177" t="s">
        <v>296</v>
      </c>
      <c r="D47" s="74" t="s">
        <v>50</v>
      </c>
      <c r="E47" s="76">
        <v>126</v>
      </c>
      <c r="F47" s="76">
        <f>F46*E47</f>
        <v>16.616879999999998</v>
      </c>
      <c r="G47" s="76"/>
      <c r="H47" s="396"/>
      <c r="I47" s="76"/>
      <c r="J47" s="334"/>
      <c r="K47" s="334"/>
      <c r="L47" s="334"/>
      <c r="M47" s="334"/>
    </row>
    <row r="48" spans="1:13" s="331" customFormat="1" ht="12.75" customHeight="1">
      <c r="A48" s="333"/>
      <c r="B48" s="410"/>
      <c r="C48" s="177" t="s">
        <v>72</v>
      </c>
      <c r="D48" s="74" t="s">
        <v>73</v>
      </c>
      <c r="E48" s="76">
        <v>50.8</v>
      </c>
      <c r="F48" s="76">
        <f>F46*E48</f>
        <v>6.6995039999999992</v>
      </c>
      <c r="G48" s="76"/>
      <c r="H48" s="76"/>
      <c r="I48" s="76"/>
      <c r="J48" s="334"/>
      <c r="K48" s="334"/>
      <c r="L48" s="334"/>
      <c r="M48" s="334"/>
    </row>
    <row r="49" spans="1:13" s="331" customFormat="1" ht="12.75" customHeight="1">
      <c r="A49" s="333"/>
      <c r="B49" s="398" t="s">
        <v>460</v>
      </c>
      <c r="C49" s="177" t="s">
        <v>461</v>
      </c>
      <c r="D49" s="74" t="s">
        <v>20</v>
      </c>
      <c r="E49" s="76">
        <v>3</v>
      </c>
      <c r="F49" s="76">
        <f>F44*E49</f>
        <v>3</v>
      </c>
      <c r="G49" s="76"/>
      <c r="H49" s="76"/>
      <c r="I49" s="76"/>
      <c r="J49" s="334"/>
      <c r="K49" s="334"/>
      <c r="L49" s="334"/>
      <c r="M49" s="334"/>
    </row>
    <row r="50" spans="1:13" s="331" customFormat="1" ht="28">
      <c r="A50" s="333"/>
      <c r="B50" s="398" t="s">
        <v>462</v>
      </c>
      <c r="C50" s="177" t="s">
        <v>463</v>
      </c>
      <c r="D50" s="74" t="s">
        <v>21</v>
      </c>
      <c r="E50" s="76">
        <v>1</v>
      </c>
      <c r="F50" s="76">
        <f>F44*E50</f>
        <v>1</v>
      </c>
      <c r="G50" s="76"/>
      <c r="H50" s="76"/>
      <c r="I50" s="76"/>
      <c r="J50" s="334"/>
      <c r="K50" s="334"/>
      <c r="L50" s="334"/>
      <c r="M50" s="334"/>
    </row>
    <row r="51" spans="1:13" s="331" customFormat="1" ht="12.75" customHeight="1">
      <c r="A51" s="333"/>
      <c r="B51" s="398" t="s">
        <v>464</v>
      </c>
      <c r="C51" s="177" t="s">
        <v>465</v>
      </c>
      <c r="D51" s="74" t="s">
        <v>21</v>
      </c>
      <c r="E51" s="76">
        <v>1</v>
      </c>
      <c r="F51" s="76">
        <f>F44*E51</f>
        <v>1</v>
      </c>
      <c r="G51" s="76"/>
      <c r="H51" s="76"/>
      <c r="I51" s="76"/>
      <c r="J51" s="334"/>
      <c r="K51" s="334"/>
      <c r="L51" s="334"/>
      <c r="M51" s="334"/>
    </row>
    <row r="52" spans="1:13" s="331" customFormat="1" ht="12.75" customHeight="1">
      <c r="A52" s="333"/>
      <c r="B52" s="413" t="s">
        <v>466</v>
      </c>
      <c r="C52" s="177" t="s">
        <v>467</v>
      </c>
      <c r="D52" s="74" t="s">
        <v>22</v>
      </c>
      <c r="E52" s="76">
        <v>4.13</v>
      </c>
      <c r="F52" s="76">
        <f>F46*E52</f>
        <v>0.54466439999999994</v>
      </c>
      <c r="G52" s="76"/>
      <c r="H52" s="76"/>
      <c r="I52" s="76"/>
      <c r="J52" s="334"/>
      <c r="K52" s="334"/>
      <c r="L52" s="334"/>
      <c r="M52" s="334"/>
    </row>
    <row r="53" spans="1:13" s="331" customFormat="1" ht="12.75" customHeight="1">
      <c r="A53" s="333"/>
      <c r="B53" s="398" t="s">
        <v>468</v>
      </c>
      <c r="C53" s="177" t="s">
        <v>469</v>
      </c>
      <c r="D53" s="74" t="s">
        <v>63</v>
      </c>
      <c r="E53" s="76">
        <v>160</v>
      </c>
      <c r="F53" s="76">
        <f>F46*E53</f>
        <v>21.1008</v>
      </c>
      <c r="G53" s="328"/>
      <c r="H53" s="76"/>
      <c r="I53" s="76"/>
      <c r="J53" s="334"/>
      <c r="K53" s="334"/>
      <c r="L53" s="334"/>
      <c r="M53" s="334"/>
    </row>
    <row r="54" spans="1:13" s="331" customFormat="1" ht="12.75" customHeight="1">
      <c r="A54" s="333"/>
      <c r="B54" s="410"/>
      <c r="C54" s="177" t="s">
        <v>74</v>
      </c>
      <c r="D54" s="74" t="s">
        <v>73</v>
      </c>
      <c r="E54" s="76">
        <v>70.099999999999994</v>
      </c>
      <c r="F54" s="76">
        <f>F46*E54</f>
        <v>9.2447879999999998</v>
      </c>
      <c r="G54" s="76"/>
      <c r="H54" s="76"/>
      <c r="I54" s="76"/>
      <c r="J54" s="334"/>
      <c r="K54" s="334"/>
      <c r="L54" s="334"/>
      <c r="M54" s="334"/>
    </row>
    <row r="55" spans="1:13" s="331" customFormat="1" ht="14">
      <c r="A55" s="333">
        <v>7</v>
      </c>
      <c r="B55" s="410"/>
      <c r="C55" s="423" t="s">
        <v>488</v>
      </c>
      <c r="D55" s="332" t="s">
        <v>21</v>
      </c>
      <c r="E55" s="334"/>
      <c r="F55" s="334">
        <v>1</v>
      </c>
      <c r="G55" s="334"/>
      <c r="H55" s="334"/>
      <c r="I55" s="334"/>
      <c r="J55" s="334"/>
      <c r="K55" s="334"/>
      <c r="L55" s="334"/>
      <c r="M55" s="334"/>
    </row>
    <row r="56" spans="1:13" s="331" customFormat="1" ht="12.75" customHeight="1">
      <c r="A56" s="333"/>
      <c r="B56" s="408"/>
      <c r="C56" s="177" t="s">
        <v>296</v>
      </c>
      <c r="D56" s="74" t="s">
        <v>21</v>
      </c>
      <c r="E56" s="76">
        <v>1</v>
      </c>
      <c r="F56" s="76">
        <f>F55*E56</f>
        <v>1</v>
      </c>
      <c r="G56" s="76"/>
      <c r="H56" s="396"/>
      <c r="I56" s="76"/>
      <c r="J56" s="334"/>
      <c r="K56" s="334"/>
      <c r="L56" s="334"/>
      <c r="M56" s="334"/>
    </row>
    <row r="57" spans="1:13" s="331" customFormat="1" ht="14">
      <c r="A57" s="333"/>
      <c r="B57" s="410"/>
      <c r="C57" s="414" t="s">
        <v>489</v>
      </c>
      <c r="D57" s="332" t="s">
        <v>21</v>
      </c>
      <c r="E57" s="334"/>
      <c r="F57" s="334">
        <f>F55</f>
        <v>1</v>
      </c>
      <c r="G57" s="334"/>
      <c r="H57" s="76"/>
      <c r="I57" s="76"/>
      <c r="J57" s="334"/>
      <c r="K57" s="334"/>
      <c r="L57" s="334"/>
      <c r="M57" s="334"/>
    </row>
    <row r="58" spans="1:13" s="164" customFormat="1" ht="14">
      <c r="A58" s="322"/>
      <c r="B58" s="71"/>
      <c r="C58" s="116" t="s">
        <v>87</v>
      </c>
      <c r="D58" s="117"/>
      <c r="E58" s="117"/>
      <c r="F58" s="118"/>
      <c r="G58" s="174"/>
      <c r="H58" s="174">
        <f>SUM(H16:H57)</f>
        <v>0</v>
      </c>
      <c r="I58" s="174"/>
      <c r="J58" s="174">
        <f t="shared" ref="J58:L58" si="0">SUM(J16:J57)</f>
        <v>0</v>
      </c>
      <c r="K58" s="174"/>
      <c r="L58" s="174">
        <f t="shared" si="0"/>
        <v>0</v>
      </c>
      <c r="M58" s="174">
        <f>SUM(M16:M57)</f>
        <v>0</v>
      </c>
    </row>
    <row r="59" spans="1:13" s="153" customFormat="1" ht="14">
      <c r="A59" s="322"/>
      <c r="B59" s="162"/>
      <c r="C59" s="165" t="s">
        <v>310</v>
      </c>
      <c r="D59" s="171">
        <v>0.01</v>
      </c>
      <c r="E59" s="162"/>
      <c r="F59" s="166"/>
      <c r="G59" s="172"/>
      <c r="H59" s="172"/>
      <c r="I59" s="166"/>
      <c r="J59" s="172"/>
      <c r="K59" s="172"/>
      <c r="L59" s="172">
        <f>H58*D59</f>
        <v>0</v>
      </c>
      <c r="M59" s="172">
        <f>L59</f>
        <v>0</v>
      </c>
    </row>
    <row r="60" spans="1:13" s="153" customFormat="1" ht="14">
      <c r="A60" s="322"/>
      <c r="B60" s="162"/>
      <c r="C60" s="165" t="s">
        <v>87</v>
      </c>
      <c r="D60" s="171"/>
      <c r="E60" s="162"/>
      <c r="F60" s="166"/>
      <c r="G60" s="172"/>
      <c r="H60" s="172"/>
      <c r="I60" s="166"/>
      <c r="J60" s="172"/>
      <c r="K60" s="172"/>
      <c r="L60" s="172"/>
      <c r="M60" s="172">
        <f>M58+M59</f>
        <v>0</v>
      </c>
    </row>
    <row r="61" spans="1:13" s="153" customFormat="1" ht="14">
      <c r="A61" s="322"/>
      <c r="B61" s="162"/>
      <c r="C61" s="165" t="s">
        <v>88</v>
      </c>
      <c r="D61" s="171">
        <v>0.01</v>
      </c>
      <c r="E61" s="162"/>
      <c r="F61" s="166"/>
      <c r="G61" s="172"/>
      <c r="H61" s="172"/>
      <c r="I61" s="166"/>
      <c r="J61" s="172"/>
      <c r="K61" s="172"/>
      <c r="L61" s="172"/>
      <c r="M61" s="172">
        <f>M60*D61</f>
        <v>0</v>
      </c>
    </row>
    <row r="62" spans="1:13" s="153" customFormat="1" ht="14">
      <c r="A62" s="322"/>
      <c r="B62" s="162"/>
      <c r="C62" s="165" t="s">
        <v>87</v>
      </c>
      <c r="D62" s="162"/>
      <c r="E62" s="162"/>
      <c r="F62" s="166"/>
      <c r="G62" s="172"/>
      <c r="H62" s="172"/>
      <c r="I62" s="166"/>
      <c r="J62" s="172"/>
      <c r="K62" s="172"/>
      <c r="L62" s="172"/>
      <c r="M62" s="172">
        <f>M61+M60</f>
        <v>0</v>
      </c>
    </row>
    <row r="63" spans="1:13" s="153" customFormat="1" ht="14">
      <c r="A63" s="322"/>
      <c r="B63" s="162"/>
      <c r="C63" s="165" t="s">
        <v>89</v>
      </c>
      <c r="D63" s="171">
        <v>0.01</v>
      </c>
      <c r="E63" s="162"/>
      <c r="F63" s="166"/>
      <c r="G63" s="172"/>
      <c r="H63" s="172"/>
      <c r="I63" s="166"/>
      <c r="J63" s="172"/>
      <c r="K63" s="172"/>
      <c r="L63" s="172"/>
      <c r="M63" s="172">
        <f>M62*D63</f>
        <v>0</v>
      </c>
    </row>
    <row r="64" spans="1:13" s="164" customFormat="1" ht="14">
      <c r="A64" s="322"/>
      <c r="B64" s="71"/>
      <c r="C64" s="116" t="s">
        <v>87</v>
      </c>
      <c r="D64" s="117"/>
      <c r="E64" s="117"/>
      <c r="F64" s="118"/>
      <c r="G64" s="174"/>
      <c r="H64" s="174"/>
      <c r="I64" s="118"/>
      <c r="J64" s="174"/>
      <c r="K64" s="174"/>
      <c r="L64" s="174"/>
      <c r="M64" s="174">
        <f>M63+M62</f>
        <v>0</v>
      </c>
    </row>
  </sheetData>
  <mergeCells count="17">
    <mergeCell ref="M12:M13"/>
    <mergeCell ref="D12:D13"/>
    <mergeCell ref="A1:M1"/>
    <mergeCell ref="A2:M2"/>
    <mergeCell ref="A3:M3"/>
    <mergeCell ref="A4:M4"/>
    <mergeCell ref="A6:M6"/>
    <mergeCell ref="A7:M7"/>
    <mergeCell ref="A9:C9"/>
    <mergeCell ref="A10:C10"/>
    <mergeCell ref="A12:A13"/>
    <mergeCell ref="B12:B13"/>
    <mergeCell ref="C12:C13"/>
    <mergeCell ref="E12:F12"/>
    <mergeCell ref="G12:H12"/>
    <mergeCell ref="I12:J12"/>
    <mergeCell ref="K12:L12"/>
  </mergeCells>
  <pageMargins left="0.2" right="0.2" top="0.5" bottom="0.2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view="pageBreakPreview" topLeftCell="A28" zoomScaleNormal="100" zoomScaleSheetLayoutView="100" workbookViewId="0">
      <selection activeCell="D76" sqref="D76"/>
    </sheetView>
  </sheetViews>
  <sheetFormatPr baseColWidth="10" defaultColWidth="9.1640625" defaultRowHeight="13"/>
  <cols>
    <col min="1" max="1" width="9.1640625" style="19"/>
    <col min="2" max="2" width="14" style="19" customWidth="1"/>
    <col min="3" max="3" width="51.6640625" style="415" customWidth="1"/>
    <col min="4" max="16384" width="9.1640625" style="19"/>
  </cols>
  <sheetData>
    <row r="1" spans="1:15" s="21" customFormat="1" ht="30.75" customHeight="1">
      <c r="A1" s="440" t="s">
        <v>135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25"/>
      <c r="O1" s="25"/>
    </row>
    <row r="2" spans="1:15" s="21" customFormat="1">
      <c r="A2" s="424" t="s">
        <v>25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25"/>
      <c r="O2" s="25"/>
    </row>
    <row r="3" spans="1:15" s="26" customFormat="1">
      <c r="A3" s="426" t="s">
        <v>136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25"/>
      <c r="O3" s="25"/>
    </row>
    <row r="4" spans="1:15" s="21" customFormat="1">
      <c r="A4" s="429" t="s">
        <v>32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27"/>
      <c r="O4" s="27"/>
    </row>
    <row r="5" spans="1:15" s="26" customFormat="1">
      <c r="A5" s="323"/>
      <c r="B5" s="28"/>
      <c r="C5" s="392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25"/>
    </row>
    <row r="6" spans="1:15" s="153" customFormat="1">
      <c r="A6" s="439" t="s">
        <v>426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</row>
    <row r="7" spans="1:15" s="153" customFormat="1">
      <c r="A7" s="439" t="s">
        <v>425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5" s="153" customFormat="1">
      <c r="A8" s="324"/>
      <c r="B8" s="78"/>
      <c r="C8" s="393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5" s="20" customFormat="1" ht="15" customHeight="1">
      <c r="A9" s="435" t="s">
        <v>26</v>
      </c>
      <c r="B9" s="435"/>
      <c r="C9" s="435"/>
      <c r="D9" s="363"/>
      <c r="E9" s="363"/>
      <c r="F9" s="363"/>
      <c r="G9" s="363"/>
      <c r="H9" s="363"/>
      <c r="I9" s="363" t="s">
        <v>27</v>
      </c>
      <c r="J9" s="363"/>
      <c r="K9" s="363"/>
      <c r="L9" s="155">
        <f>M76/1000</f>
        <v>0</v>
      </c>
      <c r="M9" s="363" t="s">
        <v>28</v>
      </c>
    </row>
    <row r="10" spans="1:15" s="158" customFormat="1">
      <c r="A10" s="436"/>
      <c r="B10" s="436"/>
      <c r="C10" s="436"/>
      <c r="D10" s="156"/>
      <c r="E10" s="156"/>
      <c r="F10" s="156"/>
      <c r="G10" s="363"/>
      <c r="H10" s="363"/>
      <c r="I10" s="156"/>
      <c r="J10" s="363" t="s">
        <v>36</v>
      </c>
      <c r="K10" s="363"/>
      <c r="L10" s="157">
        <f>J70/1000</f>
        <v>0</v>
      </c>
      <c r="M10" s="363" t="s">
        <v>28</v>
      </c>
    </row>
    <row r="11" spans="1:15" s="153" customFormat="1">
      <c r="A11" s="324"/>
      <c r="B11" s="78"/>
      <c r="C11" s="394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5" s="159" customFormat="1" ht="33" customHeight="1">
      <c r="A12" s="437" t="s">
        <v>29</v>
      </c>
      <c r="B12" s="438" t="s">
        <v>90</v>
      </c>
      <c r="C12" s="438" t="s">
        <v>31</v>
      </c>
      <c r="D12" s="438" t="s">
        <v>121</v>
      </c>
      <c r="E12" s="438" t="s">
        <v>122</v>
      </c>
      <c r="F12" s="438"/>
      <c r="G12" s="434" t="s">
        <v>123</v>
      </c>
      <c r="H12" s="434"/>
      <c r="I12" s="434" t="s">
        <v>43</v>
      </c>
      <c r="J12" s="434"/>
      <c r="K12" s="434" t="s">
        <v>124</v>
      </c>
      <c r="L12" s="434"/>
      <c r="M12" s="434" t="s">
        <v>30</v>
      </c>
    </row>
    <row r="13" spans="1:15" s="159" customFormat="1" ht="27" customHeight="1">
      <c r="A13" s="437"/>
      <c r="B13" s="438"/>
      <c r="C13" s="438"/>
      <c r="D13" s="438"/>
      <c r="E13" s="367" t="s">
        <v>125</v>
      </c>
      <c r="F13" s="367" t="s">
        <v>1</v>
      </c>
      <c r="G13" s="365" t="s">
        <v>125</v>
      </c>
      <c r="H13" s="365" t="s">
        <v>1</v>
      </c>
      <c r="I13" s="365" t="s">
        <v>125</v>
      </c>
      <c r="J13" s="365" t="s">
        <v>1</v>
      </c>
      <c r="K13" s="365" t="s">
        <v>125</v>
      </c>
      <c r="L13" s="365" t="s">
        <v>1</v>
      </c>
      <c r="M13" s="434"/>
    </row>
    <row r="14" spans="1:15" s="161" customFormat="1">
      <c r="A14" s="366">
        <v>1</v>
      </c>
      <c r="B14" s="160">
        <v>2</v>
      </c>
      <c r="C14" s="160">
        <v>3</v>
      </c>
      <c r="D14" s="160">
        <v>4</v>
      </c>
      <c r="E14" s="160">
        <v>5</v>
      </c>
      <c r="F14" s="160">
        <v>6</v>
      </c>
      <c r="G14" s="160">
        <v>9</v>
      </c>
      <c r="H14" s="160">
        <v>10</v>
      </c>
      <c r="I14" s="160">
        <v>7</v>
      </c>
      <c r="J14" s="160">
        <v>8</v>
      </c>
      <c r="K14" s="160">
        <v>11</v>
      </c>
      <c r="L14" s="160">
        <v>12</v>
      </c>
      <c r="M14" s="160">
        <v>13</v>
      </c>
    </row>
    <row r="15" spans="1:15" s="331" customFormat="1" ht="28">
      <c r="A15" s="332">
        <v>1</v>
      </c>
      <c r="B15" s="398" t="s">
        <v>428</v>
      </c>
      <c r="C15" s="175" t="s">
        <v>429</v>
      </c>
      <c r="D15" s="90" t="s">
        <v>22</v>
      </c>
      <c r="E15" s="76"/>
      <c r="F15" s="399">
        <f>(14+25)*2*0.6*2</f>
        <v>93.6</v>
      </c>
      <c r="G15" s="76"/>
      <c r="H15" s="76"/>
      <c r="I15" s="76"/>
      <c r="J15" s="334"/>
      <c r="K15" s="334"/>
      <c r="L15" s="334"/>
      <c r="M15" s="334"/>
    </row>
    <row r="16" spans="1:15" s="331" customFormat="1">
      <c r="A16" s="332"/>
      <c r="B16" s="398"/>
      <c r="C16" s="176"/>
      <c r="D16" s="74" t="s">
        <v>48</v>
      </c>
      <c r="E16" s="76"/>
      <c r="F16" s="167">
        <f>F15/1000</f>
        <v>9.3599999999999989E-2</v>
      </c>
      <c r="G16" s="76"/>
      <c r="H16" s="76"/>
      <c r="I16" s="76"/>
      <c r="J16" s="334"/>
      <c r="K16" s="334"/>
      <c r="L16" s="334"/>
      <c r="M16" s="334"/>
    </row>
    <row r="17" spans="1:13" s="331" customFormat="1" ht="14">
      <c r="A17" s="332"/>
      <c r="B17" s="398"/>
      <c r="C17" s="177" t="s">
        <v>296</v>
      </c>
      <c r="D17" s="74" t="s">
        <v>50</v>
      </c>
      <c r="E17" s="76">
        <v>20</v>
      </c>
      <c r="F17" s="76">
        <f>F16*E17</f>
        <v>1.8719999999999999</v>
      </c>
      <c r="G17" s="76"/>
      <c r="H17" s="76"/>
      <c r="I17" s="76"/>
      <c r="J17" s="334"/>
      <c r="K17" s="334"/>
      <c r="L17" s="334"/>
      <c r="M17" s="334"/>
    </row>
    <row r="18" spans="1:13" s="331" customFormat="1" ht="14">
      <c r="A18" s="332"/>
      <c r="B18" s="398" t="s">
        <v>481</v>
      </c>
      <c r="C18" s="177" t="s">
        <v>471</v>
      </c>
      <c r="D18" s="74" t="s">
        <v>62</v>
      </c>
      <c r="E18" s="76">
        <v>44.8</v>
      </c>
      <c r="F18" s="76">
        <f>F16*E18</f>
        <v>4.1932799999999997</v>
      </c>
      <c r="G18" s="76"/>
      <c r="H18" s="76"/>
      <c r="I18" s="76"/>
      <c r="J18" s="334"/>
      <c r="K18" s="334"/>
      <c r="L18" s="334"/>
      <c r="M18" s="334"/>
    </row>
    <row r="19" spans="1:13" s="331" customFormat="1" ht="14">
      <c r="A19" s="332"/>
      <c r="B19" s="398"/>
      <c r="C19" s="177" t="s">
        <v>72</v>
      </c>
      <c r="D19" s="74" t="s">
        <v>73</v>
      </c>
      <c r="E19" s="76">
        <v>2.1</v>
      </c>
      <c r="F19" s="76">
        <f>F16*E19</f>
        <v>0.19655999999999998</v>
      </c>
      <c r="G19" s="76"/>
      <c r="H19" s="76"/>
      <c r="I19" s="76"/>
      <c r="J19" s="334"/>
      <c r="K19" s="334"/>
      <c r="L19" s="334"/>
      <c r="M19" s="334"/>
    </row>
    <row r="20" spans="1:13" s="403" customFormat="1" ht="14">
      <c r="A20" s="400"/>
      <c r="B20" s="401" t="s">
        <v>430</v>
      </c>
      <c r="C20" s="395" t="s">
        <v>431</v>
      </c>
      <c r="D20" s="327" t="s">
        <v>73</v>
      </c>
      <c r="E20" s="328">
        <v>0.05</v>
      </c>
      <c r="F20" s="328">
        <f>E20*F16</f>
        <v>4.6799999999999993E-3</v>
      </c>
      <c r="G20" s="328"/>
      <c r="H20" s="328"/>
      <c r="I20" s="328"/>
      <c r="J20" s="402"/>
      <c r="K20" s="402"/>
      <c r="L20" s="402"/>
      <c r="M20" s="402"/>
    </row>
    <row r="21" spans="1:13" s="331" customFormat="1" ht="19.5" customHeight="1">
      <c r="A21" s="332">
        <v>2</v>
      </c>
      <c r="B21" s="404"/>
      <c r="C21" s="175" t="s">
        <v>432</v>
      </c>
      <c r="D21" s="74" t="s">
        <v>22</v>
      </c>
      <c r="E21" s="76"/>
      <c r="F21" s="163">
        <f>(F15)*0.25*0.07</f>
        <v>1.6380000000000001</v>
      </c>
      <c r="G21" s="76"/>
      <c r="H21" s="76"/>
      <c r="I21" s="76"/>
      <c r="J21" s="334"/>
      <c r="K21" s="334"/>
      <c r="L21" s="334"/>
      <c r="M21" s="334"/>
    </row>
    <row r="22" spans="1:13" s="331" customFormat="1" ht="14">
      <c r="A22" s="332"/>
      <c r="B22" s="404" t="s">
        <v>52</v>
      </c>
      <c r="C22" s="176"/>
      <c r="D22" s="74" t="s">
        <v>54</v>
      </c>
      <c r="E22" s="76"/>
      <c r="F22" s="167">
        <f>F21/100</f>
        <v>1.6380000000000002E-2</v>
      </c>
      <c r="G22" s="76"/>
      <c r="H22" s="76"/>
      <c r="I22" s="76"/>
      <c r="J22" s="334"/>
      <c r="K22" s="334"/>
      <c r="L22" s="334"/>
      <c r="M22" s="334"/>
    </row>
    <row r="23" spans="1:13" s="331" customFormat="1" ht="14">
      <c r="A23" s="332"/>
      <c r="B23" s="398"/>
      <c r="C23" s="177" t="s">
        <v>296</v>
      </c>
      <c r="D23" s="74" t="s">
        <v>50</v>
      </c>
      <c r="E23" s="76">
        <v>206</v>
      </c>
      <c r="F23" s="76">
        <f>F22*E23</f>
        <v>3.3742800000000006</v>
      </c>
      <c r="G23" s="76"/>
      <c r="H23" s="76"/>
      <c r="I23" s="76"/>
      <c r="J23" s="334"/>
      <c r="K23" s="334"/>
      <c r="L23" s="334"/>
      <c r="M23" s="334"/>
    </row>
    <row r="24" spans="1:13" s="331" customFormat="1" ht="14">
      <c r="A24" s="332">
        <v>3</v>
      </c>
      <c r="B24" s="398"/>
      <c r="C24" s="175" t="s">
        <v>438</v>
      </c>
      <c r="D24" s="90" t="s">
        <v>22</v>
      </c>
      <c r="E24" s="76"/>
      <c r="F24" s="163">
        <f>F15</f>
        <v>93.6</v>
      </c>
      <c r="G24" s="76"/>
      <c r="H24" s="76"/>
      <c r="I24" s="76"/>
      <c r="J24" s="334"/>
      <c r="K24" s="334"/>
      <c r="L24" s="334"/>
      <c r="M24" s="334"/>
    </row>
    <row r="25" spans="1:13" s="331" customFormat="1" ht="14">
      <c r="A25" s="332"/>
      <c r="B25" s="401" t="s">
        <v>437</v>
      </c>
      <c r="C25" s="176" t="s">
        <v>200</v>
      </c>
      <c r="D25" s="74" t="s">
        <v>51</v>
      </c>
      <c r="E25" s="76">
        <v>1.85</v>
      </c>
      <c r="F25" s="76">
        <f>E25*F24</f>
        <v>173.16</v>
      </c>
      <c r="G25" s="76"/>
      <c r="H25" s="76"/>
      <c r="I25" s="76"/>
      <c r="J25" s="334"/>
      <c r="K25" s="334"/>
      <c r="L25" s="334"/>
      <c r="M25" s="334"/>
    </row>
    <row r="26" spans="1:13" s="325" customFormat="1" ht="14">
      <c r="A26" s="405">
        <v>4</v>
      </c>
      <c r="B26" s="406"/>
      <c r="C26" s="397" t="s">
        <v>470</v>
      </c>
      <c r="D26" s="330" t="s">
        <v>20</v>
      </c>
      <c r="E26" s="306"/>
      <c r="F26" s="399">
        <f>(14+25)*2</f>
        <v>78</v>
      </c>
      <c r="G26" s="306"/>
      <c r="H26" s="306"/>
      <c r="I26" s="306"/>
      <c r="J26" s="406"/>
      <c r="K26" s="406"/>
      <c r="L26" s="406"/>
      <c r="M26" s="406"/>
    </row>
    <row r="27" spans="1:13" s="331" customFormat="1">
      <c r="A27" s="332"/>
      <c r="B27" s="390" t="s">
        <v>448</v>
      </c>
      <c r="C27" s="177"/>
      <c r="D27" s="74" t="s">
        <v>445</v>
      </c>
      <c r="E27" s="391"/>
      <c r="F27" s="167">
        <f>F26/1000</f>
        <v>7.8E-2</v>
      </c>
      <c r="G27" s="391"/>
      <c r="H27" s="391"/>
      <c r="I27" s="391"/>
      <c r="J27" s="407"/>
      <c r="K27" s="407"/>
      <c r="L27" s="407"/>
      <c r="M27" s="407"/>
    </row>
    <row r="28" spans="1:13" s="331" customFormat="1" ht="14">
      <c r="A28" s="333"/>
      <c r="B28" s="408"/>
      <c r="C28" s="177" t="s">
        <v>296</v>
      </c>
      <c r="D28" s="74" t="s">
        <v>50</v>
      </c>
      <c r="E28" s="391">
        <v>537</v>
      </c>
      <c r="F28" s="391">
        <f>F27*E28</f>
        <v>41.886000000000003</v>
      </c>
      <c r="G28" s="391"/>
      <c r="H28" s="409"/>
      <c r="I28" s="391"/>
      <c r="J28" s="407"/>
      <c r="K28" s="407"/>
      <c r="L28" s="407"/>
      <c r="M28" s="407"/>
    </row>
    <row r="29" spans="1:13" s="331" customFormat="1" ht="14">
      <c r="A29" s="333"/>
      <c r="B29" s="410"/>
      <c r="C29" s="177" t="s">
        <v>72</v>
      </c>
      <c r="D29" s="74" t="s">
        <v>73</v>
      </c>
      <c r="E29" s="391">
        <v>162</v>
      </c>
      <c r="F29" s="391">
        <f>F27*E29</f>
        <v>12.635999999999999</v>
      </c>
      <c r="G29" s="391"/>
      <c r="H29" s="391"/>
      <c r="I29" s="391"/>
      <c r="J29" s="407"/>
      <c r="K29" s="334"/>
      <c r="L29" s="407"/>
      <c r="M29" s="407"/>
    </row>
    <row r="30" spans="1:13" s="331" customFormat="1" ht="14">
      <c r="A30" s="333"/>
      <c r="B30" s="332" t="s">
        <v>449</v>
      </c>
      <c r="C30" s="177" t="s">
        <v>470</v>
      </c>
      <c r="D30" s="74" t="s">
        <v>20</v>
      </c>
      <c r="E30" s="391">
        <v>995</v>
      </c>
      <c r="F30" s="391">
        <f>F27*E30</f>
        <v>77.61</v>
      </c>
      <c r="G30" s="391"/>
      <c r="H30" s="391"/>
      <c r="I30" s="391"/>
      <c r="J30" s="407"/>
      <c r="K30" s="407"/>
      <c r="L30" s="407"/>
      <c r="M30" s="407"/>
    </row>
    <row r="31" spans="1:13" s="331" customFormat="1" ht="14">
      <c r="A31" s="333"/>
      <c r="B31" s="410"/>
      <c r="C31" s="177" t="s">
        <v>74</v>
      </c>
      <c r="D31" s="74" t="s">
        <v>73</v>
      </c>
      <c r="E31" s="391">
        <v>22.9</v>
      </c>
      <c r="F31" s="391">
        <f>F27*E31</f>
        <v>1.7861999999999998</v>
      </c>
      <c r="G31" s="76"/>
      <c r="H31" s="391"/>
      <c r="I31" s="391"/>
      <c r="J31" s="407"/>
      <c r="K31" s="407"/>
      <c r="L31" s="407"/>
      <c r="M31" s="407"/>
    </row>
    <row r="32" spans="1:13" s="331" customFormat="1" ht="32.25" customHeight="1">
      <c r="A32" s="332">
        <v>5</v>
      </c>
      <c r="B32" s="390" t="s">
        <v>439</v>
      </c>
      <c r="C32" s="281" t="s">
        <v>450</v>
      </c>
      <c r="D32" s="90" t="s">
        <v>22</v>
      </c>
      <c r="E32" s="76"/>
      <c r="F32" s="411">
        <f>F26*0.2*0.6</f>
        <v>9.3600000000000012</v>
      </c>
      <c r="G32" s="76"/>
      <c r="H32" s="76"/>
      <c r="I32" s="76"/>
      <c r="J32" s="334"/>
      <c r="K32" s="334"/>
      <c r="L32" s="334"/>
      <c r="M32" s="334"/>
    </row>
    <row r="33" spans="1:13" s="331" customFormat="1">
      <c r="A33" s="332"/>
      <c r="B33" s="390"/>
      <c r="C33" s="177"/>
      <c r="D33" s="74" t="s">
        <v>441</v>
      </c>
      <c r="E33" s="76"/>
      <c r="F33" s="167">
        <f>F32/10</f>
        <v>0.93600000000000017</v>
      </c>
      <c r="G33" s="76"/>
      <c r="H33" s="76"/>
      <c r="I33" s="76"/>
      <c r="J33" s="334"/>
      <c r="K33" s="334"/>
      <c r="L33" s="334"/>
      <c r="M33" s="334"/>
    </row>
    <row r="34" spans="1:13" s="331" customFormat="1" ht="14">
      <c r="A34" s="332"/>
      <c r="B34" s="390"/>
      <c r="C34" s="177" t="s">
        <v>296</v>
      </c>
      <c r="D34" s="74" t="s">
        <v>50</v>
      </c>
      <c r="E34" s="76">
        <v>18</v>
      </c>
      <c r="F34" s="391">
        <f>F33*E34</f>
        <v>16.848000000000003</v>
      </c>
      <c r="G34" s="76"/>
      <c r="H34" s="396"/>
      <c r="I34" s="391"/>
      <c r="J34" s="334"/>
      <c r="K34" s="334"/>
      <c r="L34" s="334"/>
      <c r="M34" s="334"/>
    </row>
    <row r="35" spans="1:13" s="331" customFormat="1" ht="14">
      <c r="A35" s="332"/>
      <c r="B35" s="398" t="s">
        <v>328</v>
      </c>
      <c r="C35" s="176" t="s">
        <v>451</v>
      </c>
      <c r="D35" s="74" t="s">
        <v>22</v>
      </c>
      <c r="E35" s="76">
        <v>11</v>
      </c>
      <c r="F35" s="391">
        <f>F33*E35</f>
        <v>10.296000000000001</v>
      </c>
      <c r="G35" s="76"/>
      <c r="H35" s="76"/>
      <c r="I35" s="76"/>
      <c r="J35" s="334"/>
      <c r="K35" s="334"/>
      <c r="L35" s="334"/>
      <c r="M35" s="334"/>
    </row>
    <row r="36" spans="1:13" s="331" customFormat="1">
      <c r="A36" s="332"/>
      <c r="B36" s="398"/>
      <c r="C36" s="176"/>
      <c r="D36" s="74"/>
      <c r="E36" s="76"/>
      <c r="F36" s="391"/>
      <c r="G36" s="76"/>
      <c r="H36" s="76"/>
      <c r="I36" s="76"/>
      <c r="J36" s="334"/>
      <c r="K36" s="334"/>
      <c r="L36" s="334"/>
      <c r="M36" s="334"/>
    </row>
    <row r="37" spans="1:13" s="331" customFormat="1" ht="32.25" customHeight="1">
      <c r="A37" s="332">
        <v>6</v>
      </c>
      <c r="B37" s="390" t="s">
        <v>452</v>
      </c>
      <c r="C37" s="281" t="s">
        <v>453</v>
      </c>
      <c r="D37" s="90" t="s">
        <v>22</v>
      </c>
      <c r="E37" s="76"/>
      <c r="F37" s="411">
        <f>F26*0.3*0.6</f>
        <v>14.04</v>
      </c>
      <c r="G37" s="76"/>
      <c r="H37" s="76"/>
      <c r="I37" s="76"/>
      <c r="J37" s="334"/>
      <c r="K37" s="334"/>
      <c r="L37" s="334"/>
      <c r="M37" s="334"/>
    </row>
    <row r="38" spans="1:13" s="331" customFormat="1">
      <c r="A38" s="332"/>
      <c r="B38" s="390"/>
      <c r="C38" s="177"/>
      <c r="D38" s="74" t="s">
        <v>441</v>
      </c>
      <c r="E38" s="76"/>
      <c r="F38" s="167">
        <f>F37/10</f>
        <v>1.4039999999999999</v>
      </c>
      <c r="G38" s="76"/>
      <c r="H38" s="76"/>
      <c r="I38" s="76"/>
      <c r="J38" s="334"/>
      <c r="K38" s="334"/>
      <c r="L38" s="334"/>
      <c r="M38" s="334"/>
    </row>
    <row r="39" spans="1:13" s="331" customFormat="1" ht="14">
      <c r="A39" s="332"/>
      <c r="B39" s="390"/>
      <c r="C39" s="177" t="s">
        <v>296</v>
      </c>
      <c r="D39" s="74" t="s">
        <v>50</v>
      </c>
      <c r="E39" s="76">
        <v>18</v>
      </c>
      <c r="F39" s="391">
        <f>F38*E39</f>
        <v>25.271999999999998</v>
      </c>
      <c r="G39" s="76"/>
      <c r="H39" s="396"/>
      <c r="I39" s="391"/>
      <c r="J39" s="334"/>
      <c r="K39" s="334"/>
      <c r="L39" s="334"/>
      <c r="M39" s="334"/>
    </row>
    <row r="40" spans="1:13" s="331" customFormat="1" ht="14">
      <c r="A40" s="332"/>
      <c r="B40" s="398"/>
      <c r="C40" s="176" t="s">
        <v>454</v>
      </c>
      <c r="D40" s="74" t="s">
        <v>22</v>
      </c>
      <c r="E40" s="76">
        <v>11</v>
      </c>
      <c r="F40" s="391">
        <f>F38*E40</f>
        <v>15.443999999999999</v>
      </c>
      <c r="G40" s="76"/>
      <c r="H40" s="76"/>
      <c r="I40" s="76"/>
      <c r="J40" s="334"/>
      <c r="K40" s="334"/>
      <c r="L40" s="334"/>
      <c r="M40" s="334"/>
    </row>
    <row r="41" spans="1:13" s="331" customFormat="1">
      <c r="A41" s="332"/>
      <c r="B41" s="398"/>
      <c r="C41" s="176"/>
      <c r="D41" s="74"/>
      <c r="E41" s="76"/>
      <c r="F41" s="391"/>
      <c r="G41" s="76"/>
      <c r="H41" s="76"/>
      <c r="I41" s="76"/>
      <c r="J41" s="334"/>
      <c r="K41" s="334"/>
      <c r="L41" s="334"/>
      <c r="M41" s="334"/>
    </row>
    <row r="42" spans="1:13" s="331" customFormat="1" ht="31.5" customHeight="1">
      <c r="A42" s="332">
        <v>7</v>
      </c>
      <c r="B42" s="390" t="s">
        <v>455</v>
      </c>
      <c r="C42" s="281" t="s">
        <v>456</v>
      </c>
      <c r="D42" s="90" t="s">
        <v>22</v>
      </c>
      <c r="E42" s="76"/>
      <c r="F42" s="411">
        <f>F26*0.5*0.6</f>
        <v>23.4</v>
      </c>
      <c r="G42" s="76"/>
      <c r="H42" s="76"/>
      <c r="I42" s="76"/>
      <c r="J42" s="334"/>
      <c r="K42" s="334"/>
      <c r="L42" s="334"/>
      <c r="M42" s="334"/>
    </row>
    <row r="43" spans="1:13" s="331" customFormat="1">
      <c r="A43" s="332"/>
      <c r="B43" s="390"/>
      <c r="C43" s="177"/>
      <c r="D43" s="74" t="s">
        <v>441</v>
      </c>
      <c r="E43" s="76"/>
      <c r="F43" s="167">
        <f>F42/10</f>
        <v>2.34</v>
      </c>
      <c r="G43" s="76"/>
      <c r="H43" s="76"/>
      <c r="I43" s="76"/>
      <c r="J43" s="334"/>
      <c r="K43" s="334"/>
      <c r="L43" s="334"/>
      <c r="M43" s="334"/>
    </row>
    <row r="44" spans="1:13" s="331" customFormat="1" ht="14">
      <c r="A44" s="332"/>
      <c r="B44" s="390"/>
      <c r="C44" s="177" t="s">
        <v>296</v>
      </c>
      <c r="D44" s="74" t="s">
        <v>50</v>
      </c>
      <c r="E44" s="76">
        <v>17.8</v>
      </c>
      <c r="F44" s="391">
        <f>F43*E44</f>
        <v>41.652000000000001</v>
      </c>
      <c r="G44" s="76"/>
      <c r="H44" s="396"/>
      <c r="I44" s="391"/>
      <c r="J44" s="334"/>
      <c r="K44" s="334"/>
      <c r="L44" s="334"/>
      <c r="M44" s="334"/>
    </row>
    <row r="45" spans="1:13" s="331" customFormat="1" ht="14">
      <c r="A45" s="332"/>
      <c r="B45" s="398" t="s">
        <v>486</v>
      </c>
      <c r="C45" s="176" t="s">
        <v>457</v>
      </c>
      <c r="D45" s="74" t="s">
        <v>22</v>
      </c>
      <c r="E45" s="76">
        <v>11</v>
      </c>
      <c r="F45" s="391">
        <f>F43*E45</f>
        <v>25.74</v>
      </c>
      <c r="G45" s="76"/>
      <c r="H45" s="76"/>
      <c r="I45" s="76"/>
      <c r="J45" s="334"/>
      <c r="K45" s="334"/>
      <c r="L45" s="334"/>
      <c r="M45" s="334"/>
    </row>
    <row r="46" spans="1:13" s="331" customFormat="1">
      <c r="A46" s="332"/>
      <c r="B46" s="398"/>
      <c r="C46" s="176"/>
      <c r="D46" s="74"/>
      <c r="E46" s="76"/>
      <c r="F46" s="391"/>
      <c r="G46" s="76"/>
      <c r="H46" s="76"/>
      <c r="I46" s="76"/>
      <c r="J46" s="334"/>
      <c r="K46" s="334"/>
      <c r="L46" s="334"/>
      <c r="M46" s="334"/>
    </row>
    <row r="47" spans="1:13" s="331" customFormat="1" ht="14">
      <c r="A47" s="332">
        <v>8</v>
      </c>
      <c r="B47" s="398" t="s">
        <v>433</v>
      </c>
      <c r="C47" s="175" t="s">
        <v>472</v>
      </c>
      <c r="D47" s="90" t="s">
        <v>22</v>
      </c>
      <c r="E47" s="76"/>
      <c r="F47" s="399">
        <f>F15-F32-F37-F42</f>
        <v>46.79999999999999</v>
      </c>
      <c r="G47" s="76"/>
      <c r="H47" s="76"/>
      <c r="I47" s="76"/>
      <c r="J47" s="334"/>
      <c r="K47" s="334"/>
      <c r="L47" s="334"/>
      <c r="M47" s="334"/>
    </row>
    <row r="48" spans="1:13" s="331" customFormat="1" ht="14">
      <c r="A48" s="333"/>
      <c r="B48" s="404" t="s">
        <v>446</v>
      </c>
      <c r="C48" s="326"/>
      <c r="D48" s="74" t="s">
        <v>48</v>
      </c>
      <c r="E48" s="76"/>
      <c r="F48" s="167">
        <f>F47/1000</f>
        <v>4.6799999999999987E-2</v>
      </c>
      <c r="G48" s="76"/>
      <c r="H48" s="76"/>
      <c r="I48" s="76"/>
      <c r="J48" s="334"/>
      <c r="K48" s="334"/>
      <c r="L48" s="334"/>
      <c r="M48" s="334"/>
    </row>
    <row r="49" spans="1:13" s="331" customFormat="1">
      <c r="A49" s="333"/>
      <c r="B49" s="398"/>
      <c r="C49" s="187" t="s">
        <v>296</v>
      </c>
      <c r="D49" s="74" t="s">
        <v>50</v>
      </c>
      <c r="E49" s="76">
        <v>13.2</v>
      </c>
      <c r="F49" s="76">
        <f>F48*E49</f>
        <v>0.61775999999999975</v>
      </c>
      <c r="G49" s="76"/>
      <c r="H49" s="76"/>
      <c r="I49" s="76"/>
      <c r="J49" s="334"/>
      <c r="K49" s="334"/>
      <c r="L49" s="334"/>
      <c r="M49" s="334"/>
    </row>
    <row r="50" spans="1:13" s="331" customFormat="1">
      <c r="A50" s="333"/>
      <c r="B50" s="398" t="s">
        <v>447</v>
      </c>
      <c r="C50" s="187" t="s">
        <v>471</v>
      </c>
      <c r="D50" s="74" t="s">
        <v>62</v>
      </c>
      <c r="E50" s="76">
        <v>29.7</v>
      </c>
      <c r="F50" s="76">
        <f>F48*E50</f>
        <v>1.3899599999999996</v>
      </c>
      <c r="G50" s="76"/>
      <c r="H50" s="76"/>
      <c r="I50" s="76"/>
      <c r="J50" s="334"/>
      <c r="K50" s="334"/>
      <c r="L50" s="334"/>
      <c r="M50" s="334"/>
    </row>
    <row r="51" spans="1:13" s="325" customFormat="1" ht="14">
      <c r="A51" s="405"/>
      <c r="B51" s="398" t="s">
        <v>485</v>
      </c>
      <c r="C51" s="412" t="s">
        <v>458</v>
      </c>
      <c r="D51" s="330" t="s">
        <v>22</v>
      </c>
      <c r="E51" s="330">
        <v>1.1000000000000001</v>
      </c>
      <c r="F51" s="330">
        <f>E51*F47</f>
        <v>51.47999999999999</v>
      </c>
      <c r="G51" s="76"/>
      <c r="H51" s="76"/>
      <c r="I51" s="76"/>
      <c r="J51" s="334"/>
      <c r="K51" s="334"/>
      <c r="L51" s="334"/>
      <c r="M51" s="334"/>
    </row>
    <row r="52" spans="1:13" s="331" customFormat="1" ht="14">
      <c r="A52" s="332">
        <v>9</v>
      </c>
      <c r="B52" s="398" t="s">
        <v>434</v>
      </c>
      <c r="C52" s="175" t="s">
        <v>435</v>
      </c>
      <c r="D52" s="90" t="s">
        <v>22</v>
      </c>
      <c r="E52" s="76"/>
      <c r="F52" s="163">
        <f>F47</f>
        <v>46.79999999999999</v>
      </c>
      <c r="G52" s="76"/>
      <c r="H52" s="76"/>
      <c r="I52" s="76"/>
      <c r="J52" s="334"/>
      <c r="K52" s="334"/>
      <c r="L52" s="334"/>
      <c r="M52" s="334"/>
    </row>
    <row r="53" spans="1:13" s="331" customFormat="1">
      <c r="A53" s="332"/>
      <c r="B53" s="404"/>
      <c r="C53" s="176"/>
      <c r="D53" s="74" t="s">
        <v>54</v>
      </c>
      <c r="E53" s="76"/>
      <c r="F53" s="167">
        <f>F52/100</f>
        <v>0.46799999999999992</v>
      </c>
      <c r="G53" s="76"/>
      <c r="H53" s="76"/>
      <c r="I53" s="76"/>
      <c r="J53" s="334"/>
      <c r="K53" s="334"/>
      <c r="L53" s="334"/>
      <c r="M53" s="334"/>
    </row>
    <row r="54" spans="1:13" s="331" customFormat="1" ht="14">
      <c r="A54" s="332"/>
      <c r="B54" s="398"/>
      <c r="C54" s="177" t="s">
        <v>296</v>
      </c>
      <c r="D54" s="74" t="s">
        <v>50</v>
      </c>
      <c r="E54" s="76">
        <v>11.2</v>
      </c>
      <c r="F54" s="76">
        <f>F53*E54</f>
        <v>5.2415999999999991</v>
      </c>
      <c r="G54" s="76"/>
      <c r="H54" s="76"/>
      <c r="I54" s="76"/>
      <c r="J54" s="334"/>
      <c r="K54" s="334"/>
      <c r="L54" s="334"/>
      <c r="M54" s="334"/>
    </row>
    <row r="55" spans="1:13" s="331" customFormat="1" ht="14">
      <c r="A55" s="332"/>
      <c r="B55" s="398" t="s">
        <v>483</v>
      </c>
      <c r="C55" s="177" t="s">
        <v>484</v>
      </c>
      <c r="D55" s="74" t="s">
        <v>62</v>
      </c>
      <c r="E55" s="76">
        <v>10.9</v>
      </c>
      <c r="F55" s="76">
        <f>F53*E55</f>
        <v>5.1011999999999995</v>
      </c>
      <c r="G55" s="76"/>
      <c r="H55" s="76"/>
      <c r="I55" s="76"/>
      <c r="J55" s="334"/>
      <c r="K55" s="334"/>
      <c r="L55" s="334"/>
      <c r="M55" s="334"/>
    </row>
    <row r="56" spans="1:13" s="331" customFormat="1" ht="14">
      <c r="A56" s="332"/>
      <c r="B56" s="398" t="s">
        <v>482</v>
      </c>
      <c r="C56" s="177" t="s">
        <v>436</v>
      </c>
      <c r="D56" s="74" t="s">
        <v>62</v>
      </c>
      <c r="E56" s="76">
        <f>10.9*0.25</f>
        <v>2.7250000000000001</v>
      </c>
      <c r="F56" s="76">
        <f>F53*E56</f>
        <v>1.2752999999999999</v>
      </c>
      <c r="G56" s="76"/>
      <c r="H56" s="76"/>
      <c r="I56" s="76"/>
      <c r="J56" s="334"/>
      <c r="K56" s="334"/>
      <c r="L56" s="334"/>
      <c r="M56" s="334"/>
    </row>
    <row r="57" spans="1:13" s="331" customFormat="1">
      <c r="A57" s="332"/>
      <c r="B57" s="398"/>
      <c r="C57" s="176"/>
      <c r="D57" s="74"/>
      <c r="E57" s="76"/>
      <c r="F57" s="391"/>
      <c r="G57" s="76"/>
      <c r="H57" s="76"/>
      <c r="I57" s="76"/>
      <c r="J57" s="334"/>
      <c r="K57" s="334"/>
      <c r="L57" s="334"/>
      <c r="M57" s="334"/>
    </row>
    <row r="58" spans="1:13" s="325" customFormat="1" ht="28">
      <c r="A58" s="405">
        <v>10</v>
      </c>
      <c r="B58" s="405"/>
      <c r="C58" s="397" t="s">
        <v>473</v>
      </c>
      <c r="D58" s="74" t="s">
        <v>21</v>
      </c>
      <c r="E58" s="74"/>
      <c r="F58" s="411">
        <v>2</v>
      </c>
      <c r="G58" s="306"/>
      <c r="H58" s="306"/>
      <c r="I58" s="306"/>
      <c r="J58" s="406"/>
      <c r="K58" s="406"/>
      <c r="L58" s="406"/>
      <c r="M58" s="406"/>
    </row>
    <row r="59" spans="1:13" s="331" customFormat="1" ht="26.25" customHeight="1">
      <c r="A59" s="333"/>
      <c r="B59" s="408" t="s">
        <v>459</v>
      </c>
      <c r="C59" s="177" t="s">
        <v>474</v>
      </c>
      <c r="D59" s="74" t="s">
        <v>22</v>
      </c>
      <c r="E59" s="163"/>
      <c r="F59" s="416">
        <f>F58*(3.14/4*1.2*1.2*0.1*2+1.2*3.14*0.1*2+0.3*1.2*1.2*3.14/4)</f>
        <v>2.6375999999999999</v>
      </c>
      <c r="G59" s="76"/>
      <c r="H59" s="76"/>
      <c r="I59" s="76"/>
      <c r="J59" s="334"/>
      <c r="K59" s="334"/>
      <c r="L59" s="334"/>
      <c r="M59" s="334"/>
    </row>
    <row r="60" spans="1:13" s="331" customFormat="1" ht="12.75" customHeight="1">
      <c r="A60" s="332"/>
      <c r="B60" s="390"/>
      <c r="C60" s="177"/>
      <c r="D60" s="74" t="s">
        <v>441</v>
      </c>
      <c r="E60" s="76"/>
      <c r="F60" s="167">
        <f>F59/10</f>
        <v>0.26375999999999999</v>
      </c>
      <c r="G60" s="76"/>
      <c r="H60" s="76"/>
      <c r="I60" s="76"/>
      <c r="J60" s="334"/>
      <c r="K60" s="334"/>
      <c r="L60" s="334"/>
      <c r="M60" s="334"/>
    </row>
    <row r="61" spans="1:13" s="331" customFormat="1" ht="12.75" customHeight="1">
      <c r="A61" s="333"/>
      <c r="B61" s="408"/>
      <c r="C61" s="177" t="s">
        <v>296</v>
      </c>
      <c r="D61" s="74" t="s">
        <v>50</v>
      </c>
      <c r="E61" s="76">
        <v>126</v>
      </c>
      <c r="F61" s="76">
        <f>F60*E61</f>
        <v>33.233759999999997</v>
      </c>
      <c r="G61" s="76"/>
      <c r="H61" s="396"/>
      <c r="I61" s="76"/>
      <c r="J61" s="334"/>
      <c r="K61" s="334"/>
      <c r="L61" s="334"/>
      <c r="M61" s="334"/>
    </row>
    <row r="62" spans="1:13" s="331" customFormat="1" ht="12.75" customHeight="1">
      <c r="A62" s="333"/>
      <c r="B62" s="410"/>
      <c r="C62" s="177" t="s">
        <v>72</v>
      </c>
      <c r="D62" s="74" t="s">
        <v>73</v>
      </c>
      <c r="E62" s="76">
        <v>50.8</v>
      </c>
      <c r="F62" s="76">
        <f>F60*E62</f>
        <v>13.399007999999998</v>
      </c>
      <c r="G62" s="76"/>
      <c r="H62" s="76"/>
      <c r="I62" s="76"/>
      <c r="J62" s="334"/>
      <c r="K62" s="334"/>
      <c r="L62" s="334"/>
      <c r="M62" s="334"/>
    </row>
    <row r="63" spans="1:13" s="331" customFormat="1" ht="12.75" customHeight="1">
      <c r="A63" s="333"/>
      <c r="B63" s="398" t="s">
        <v>460</v>
      </c>
      <c r="C63" s="177" t="s">
        <v>461</v>
      </c>
      <c r="D63" s="74" t="s">
        <v>20</v>
      </c>
      <c r="E63" s="76">
        <v>3</v>
      </c>
      <c r="F63" s="76">
        <f>F58*E63</f>
        <v>6</v>
      </c>
      <c r="G63" s="76"/>
      <c r="H63" s="76"/>
      <c r="I63" s="76"/>
      <c r="J63" s="334"/>
      <c r="K63" s="334"/>
      <c r="L63" s="334"/>
      <c r="M63" s="334"/>
    </row>
    <row r="64" spans="1:13" s="331" customFormat="1" ht="28">
      <c r="A64" s="333"/>
      <c r="B64" s="398" t="s">
        <v>462</v>
      </c>
      <c r="C64" s="177" t="s">
        <v>463</v>
      </c>
      <c r="D64" s="74" t="s">
        <v>21</v>
      </c>
      <c r="E64" s="76">
        <v>1</v>
      </c>
      <c r="F64" s="76">
        <f>F58*E64</f>
        <v>2</v>
      </c>
      <c r="G64" s="76"/>
      <c r="H64" s="76"/>
      <c r="I64" s="76"/>
      <c r="J64" s="334"/>
      <c r="K64" s="334"/>
      <c r="L64" s="334"/>
      <c r="M64" s="334"/>
    </row>
    <row r="65" spans="1:13" s="331" customFormat="1" ht="12.75" customHeight="1">
      <c r="A65" s="333"/>
      <c r="B65" s="398" t="s">
        <v>464</v>
      </c>
      <c r="C65" s="177" t="s">
        <v>465</v>
      </c>
      <c r="D65" s="74" t="s">
        <v>21</v>
      </c>
      <c r="E65" s="76">
        <v>1</v>
      </c>
      <c r="F65" s="76">
        <f>F58*E65</f>
        <v>2</v>
      </c>
      <c r="G65" s="76"/>
      <c r="H65" s="76"/>
      <c r="I65" s="76"/>
      <c r="J65" s="334"/>
      <c r="K65" s="334"/>
      <c r="L65" s="334"/>
      <c r="M65" s="334"/>
    </row>
    <row r="66" spans="1:13" s="331" customFormat="1" ht="12.75" customHeight="1">
      <c r="A66" s="333"/>
      <c r="B66" s="413" t="s">
        <v>466</v>
      </c>
      <c r="C66" s="177" t="s">
        <v>467</v>
      </c>
      <c r="D66" s="74" t="s">
        <v>22</v>
      </c>
      <c r="E66" s="76">
        <v>4.13</v>
      </c>
      <c r="F66" s="76">
        <f>F60*E66</f>
        <v>1.0893287999999999</v>
      </c>
      <c r="G66" s="76"/>
      <c r="H66" s="76"/>
      <c r="I66" s="76"/>
      <c r="J66" s="334"/>
      <c r="K66" s="334"/>
      <c r="L66" s="334"/>
      <c r="M66" s="334"/>
    </row>
    <row r="67" spans="1:13" s="331" customFormat="1" ht="12.75" customHeight="1">
      <c r="A67" s="333"/>
      <c r="B67" s="398" t="s">
        <v>468</v>
      </c>
      <c r="C67" s="177" t="s">
        <v>469</v>
      </c>
      <c r="D67" s="74" t="s">
        <v>63</v>
      </c>
      <c r="E67" s="76">
        <v>160</v>
      </c>
      <c r="F67" s="76">
        <f>F60*E67</f>
        <v>42.201599999999999</v>
      </c>
      <c r="G67" s="328"/>
      <c r="H67" s="76"/>
      <c r="I67" s="76"/>
      <c r="J67" s="334"/>
      <c r="K67" s="334"/>
      <c r="L67" s="334"/>
      <c r="M67" s="334"/>
    </row>
    <row r="68" spans="1:13" s="331" customFormat="1" ht="12.75" customHeight="1">
      <c r="A68" s="333"/>
      <c r="B68" s="410"/>
      <c r="C68" s="177" t="s">
        <v>74</v>
      </c>
      <c r="D68" s="74" t="s">
        <v>73</v>
      </c>
      <c r="E68" s="76">
        <v>70.099999999999994</v>
      </c>
      <c r="F68" s="76">
        <f>F60*E68</f>
        <v>18.489576</v>
      </c>
      <c r="G68" s="76"/>
      <c r="H68" s="76"/>
      <c r="I68" s="76"/>
      <c r="J68" s="334"/>
      <c r="K68" s="334"/>
      <c r="L68" s="334"/>
      <c r="M68" s="334"/>
    </row>
    <row r="69" spans="1:13" s="331" customFormat="1">
      <c r="A69" s="333"/>
      <c r="B69" s="410"/>
      <c r="C69" s="414"/>
      <c r="D69" s="332"/>
      <c r="E69" s="334"/>
      <c r="F69" s="334"/>
      <c r="G69" s="334"/>
      <c r="H69" s="334"/>
      <c r="I69" s="334"/>
      <c r="J69" s="334"/>
      <c r="K69" s="334"/>
      <c r="L69" s="334"/>
      <c r="M69" s="334"/>
    </row>
    <row r="70" spans="1:13" s="164" customFormat="1" ht="14">
      <c r="A70" s="322"/>
      <c r="B70" s="71"/>
      <c r="C70" s="116" t="s">
        <v>87</v>
      </c>
      <c r="D70" s="117"/>
      <c r="E70" s="117"/>
      <c r="F70" s="118"/>
      <c r="G70" s="174"/>
      <c r="H70" s="174">
        <f>SUM(H15:H69)</f>
        <v>0</v>
      </c>
      <c r="I70" s="174"/>
      <c r="J70" s="174">
        <f t="shared" ref="J70:L70" si="0">SUM(J15:J69)</f>
        <v>0</v>
      </c>
      <c r="K70" s="174"/>
      <c r="L70" s="174">
        <f t="shared" si="0"/>
        <v>0</v>
      </c>
      <c r="M70" s="174">
        <f>SUM(M15:M69)</f>
        <v>0</v>
      </c>
    </row>
    <row r="71" spans="1:13" s="153" customFormat="1" ht="14">
      <c r="A71" s="322"/>
      <c r="B71" s="162"/>
      <c r="C71" s="165" t="s">
        <v>310</v>
      </c>
      <c r="D71" s="171">
        <v>0.01</v>
      </c>
      <c r="E71" s="162"/>
      <c r="F71" s="166"/>
      <c r="G71" s="172"/>
      <c r="H71" s="172"/>
      <c r="I71" s="166"/>
      <c r="J71" s="172"/>
      <c r="K71" s="172"/>
      <c r="L71" s="172">
        <f>H70*D71</f>
        <v>0</v>
      </c>
      <c r="M71" s="172">
        <f>L71</f>
        <v>0</v>
      </c>
    </row>
    <row r="72" spans="1:13" s="153" customFormat="1" ht="14">
      <c r="A72" s="322"/>
      <c r="B72" s="162"/>
      <c r="C72" s="165" t="s">
        <v>87</v>
      </c>
      <c r="D72" s="171"/>
      <c r="E72" s="162"/>
      <c r="F72" s="166"/>
      <c r="G72" s="172"/>
      <c r="H72" s="172"/>
      <c r="I72" s="166"/>
      <c r="J72" s="172"/>
      <c r="K72" s="172"/>
      <c r="L72" s="172"/>
      <c r="M72" s="172">
        <f>M70+M71</f>
        <v>0</v>
      </c>
    </row>
    <row r="73" spans="1:13" s="153" customFormat="1" ht="14">
      <c r="A73" s="322"/>
      <c r="B73" s="162"/>
      <c r="C73" s="165" t="s">
        <v>88</v>
      </c>
      <c r="D73" s="171">
        <v>0.01</v>
      </c>
      <c r="E73" s="162"/>
      <c r="F73" s="166"/>
      <c r="G73" s="172"/>
      <c r="H73" s="172"/>
      <c r="I73" s="166"/>
      <c r="J73" s="172"/>
      <c r="K73" s="172"/>
      <c r="L73" s="172"/>
      <c r="M73" s="172">
        <f>M72*D73</f>
        <v>0</v>
      </c>
    </row>
    <row r="74" spans="1:13" s="153" customFormat="1" ht="14">
      <c r="A74" s="322"/>
      <c r="B74" s="162"/>
      <c r="C74" s="165" t="s">
        <v>87</v>
      </c>
      <c r="D74" s="162"/>
      <c r="E74" s="162"/>
      <c r="F74" s="166"/>
      <c r="G74" s="172"/>
      <c r="H74" s="172"/>
      <c r="I74" s="166"/>
      <c r="J74" s="172"/>
      <c r="K74" s="172"/>
      <c r="L74" s="172"/>
      <c r="M74" s="172">
        <f>M73+M72</f>
        <v>0</v>
      </c>
    </row>
    <row r="75" spans="1:13" s="153" customFormat="1" ht="14">
      <c r="A75" s="322"/>
      <c r="B75" s="162"/>
      <c r="C75" s="165" t="s">
        <v>89</v>
      </c>
      <c r="D75" s="171">
        <v>0.01</v>
      </c>
      <c r="E75" s="162"/>
      <c r="F75" s="166"/>
      <c r="G75" s="172"/>
      <c r="H75" s="172"/>
      <c r="I75" s="166"/>
      <c r="J75" s="172"/>
      <c r="K75" s="172"/>
      <c r="L75" s="172"/>
      <c r="M75" s="172">
        <f>M74*D75</f>
        <v>0</v>
      </c>
    </row>
    <row r="76" spans="1:13" s="164" customFormat="1" ht="14">
      <c r="A76" s="322"/>
      <c r="B76" s="71"/>
      <c r="C76" s="116" t="s">
        <v>87</v>
      </c>
      <c r="D76" s="117"/>
      <c r="E76" s="117"/>
      <c r="F76" s="118"/>
      <c r="G76" s="174"/>
      <c r="H76" s="174"/>
      <c r="I76" s="118"/>
      <c r="J76" s="174"/>
      <c r="K76" s="174"/>
      <c r="L76" s="174"/>
      <c r="M76" s="174">
        <f>M75+M74</f>
        <v>0</v>
      </c>
    </row>
  </sheetData>
  <mergeCells count="17">
    <mergeCell ref="M12:M13"/>
    <mergeCell ref="D12:D13"/>
    <mergeCell ref="A1:M1"/>
    <mergeCell ref="A2:M2"/>
    <mergeCell ref="A3:M3"/>
    <mergeCell ref="A4:M4"/>
    <mergeCell ref="A6:M6"/>
    <mergeCell ref="A7:M7"/>
    <mergeCell ref="A9:C9"/>
    <mergeCell ref="A10:C10"/>
    <mergeCell ref="A12:A13"/>
    <mergeCell ref="B12:B13"/>
    <mergeCell ref="C12:C13"/>
    <mergeCell ref="E12:F12"/>
    <mergeCell ref="G12:H12"/>
    <mergeCell ref="I12:J12"/>
    <mergeCell ref="K12:L12"/>
  </mergeCells>
  <pageMargins left="0.2" right="0.2" top="0.5" bottom="0.2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AH134"/>
  <sheetViews>
    <sheetView topLeftCell="A70" zoomScale="80" zoomScaleNormal="80" workbookViewId="0">
      <selection activeCell="C144" sqref="C144"/>
    </sheetView>
  </sheetViews>
  <sheetFormatPr baseColWidth="10" defaultColWidth="9.1640625" defaultRowHeight="15"/>
  <cols>
    <col min="1" max="1" width="1.83203125" style="2" customWidth="1"/>
    <col min="2" max="2" width="42.33203125" style="1" customWidth="1"/>
    <col min="3" max="3" width="5.33203125" style="2" customWidth="1"/>
    <col min="4" max="4" width="8" style="2" customWidth="1"/>
    <col min="5" max="5" width="6.33203125" style="2" customWidth="1"/>
    <col min="6" max="11" width="8.33203125" style="2" customWidth="1"/>
    <col min="12" max="12" width="6" style="2" customWidth="1"/>
    <col min="13" max="13" width="8.33203125" style="2" customWidth="1"/>
    <col min="14" max="14" width="6.83203125" style="2" customWidth="1"/>
    <col min="15" max="15" width="2.83203125" style="2" customWidth="1"/>
    <col min="16" max="16" width="6.83203125" style="2" customWidth="1"/>
    <col min="17" max="17" width="6.33203125" style="2" customWidth="1"/>
    <col min="18" max="18" width="6.5" style="2" customWidth="1"/>
    <col min="19" max="22" width="7.5" style="2" customWidth="1"/>
    <col min="23" max="23" width="9.1640625" style="2"/>
    <col min="24" max="24" width="11.6640625" style="2" bestFit="1" customWidth="1"/>
    <col min="25" max="28" width="9.1640625" style="2"/>
    <col min="29" max="29" width="10" style="2" customWidth="1"/>
    <col min="30" max="30" width="9.1640625" style="2"/>
    <col min="31" max="31" width="11.6640625" style="2" customWidth="1"/>
    <col min="32" max="16384" width="9.1640625" style="2"/>
  </cols>
  <sheetData>
    <row r="7" spans="2:31">
      <c r="G7" s="442" t="s">
        <v>0</v>
      </c>
      <c r="H7" s="442"/>
      <c r="I7" s="442"/>
      <c r="J7" s="442"/>
      <c r="K7" s="442"/>
      <c r="L7" s="442"/>
      <c r="M7" s="442"/>
      <c r="N7" s="442"/>
      <c r="O7" s="3"/>
      <c r="P7" s="194"/>
      <c r="S7" s="442" t="s">
        <v>1</v>
      </c>
      <c r="T7" s="442"/>
      <c r="U7" s="442"/>
      <c r="V7" s="442"/>
      <c r="W7" s="442"/>
    </row>
    <row r="8" spans="2:31" ht="26">
      <c r="B8" s="247" t="s">
        <v>2</v>
      </c>
      <c r="C8" s="3" t="s">
        <v>3</v>
      </c>
      <c r="D8" s="5" t="s">
        <v>152</v>
      </c>
      <c r="E8" s="5" t="s">
        <v>142</v>
      </c>
      <c r="F8" s="5" t="s">
        <v>143</v>
      </c>
      <c r="G8" s="5" t="s">
        <v>144</v>
      </c>
      <c r="H8" s="5" t="s">
        <v>141</v>
      </c>
      <c r="I8" s="5" t="s">
        <v>145</v>
      </c>
      <c r="J8" s="5" t="s">
        <v>146</v>
      </c>
      <c r="K8" s="6" t="s">
        <v>147</v>
      </c>
      <c r="L8" s="5" t="s">
        <v>4</v>
      </c>
      <c r="M8" s="7" t="s">
        <v>5</v>
      </c>
      <c r="N8" s="8" t="s">
        <v>6</v>
      </c>
      <c r="O8" s="8"/>
      <c r="P8" s="5" t="s">
        <v>152</v>
      </c>
      <c r="Q8" s="5" t="s">
        <v>142</v>
      </c>
      <c r="R8" s="5" t="s">
        <v>143</v>
      </c>
      <c r="S8" s="5" t="s">
        <v>144</v>
      </c>
      <c r="T8" s="5" t="s">
        <v>141</v>
      </c>
      <c r="U8" s="5" t="s">
        <v>145</v>
      </c>
      <c r="V8" s="5" t="s">
        <v>146</v>
      </c>
      <c r="W8" s="6" t="s">
        <v>147</v>
      </c>
      <c r="X8" s="5" t="s">
        <v>149</v>
      </c>
      <c r="Y8" s="6" t="s">
        <v>147</v>
      </c>
      <c r="Z8" s="8" t="s">
        <v>6</v>
      </c>
      <c r="AA8" s="8" t="s">
        <v>150</v>
      </c>
      <c r="AD8" s="8" t="s">
        <v>102</v>
      </c>
      <c r="AE8" s="189" t="s">
        <v>101</v>
      </c>
    </row>
    <row r="9" spans="2:31">
      <c r="B9" s="9" t="s">
        <v>7</v>
      </c>
      <c r="C9" s="3"/>
      <c r="D9" s="18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88"/>
      <c r="Q9" s="3"/>
      <c r="R9" s="3"/>
      <c r="S9" s="3"/>
      <c r="T9" s="3"/>
      <c r="U9" s="3"/>
      <c r="V9" s="3"/>
      <c r="W9" s="3"/>
      <c r="X9" s="3"/>
      <c r="Y9" s="3"/>
      <c r="Z9" s="10"/>
      <c r="AA9" s="10"/>
      <c r="AB9" s="16" t="s">
        <v>138</v>
      </c>
      <c r="AC9" s="16" t="s">
        <v>99</v>
      </c>
      <c r="AD9" s="16"/>
      <c r="AE9" s="16"/>
    </row>
    <row r="10" spans="2:31">
      <c r="B10" s="4" t="s">
        <v>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>
        <f>12*AB10*1.21</f>
        <v>392.76600000000002</v>
      </c>
      <c r="U10" s="188"/>
      <c r="V10" s="188"/>
      <c r="W10" s="11">
        <f>SUM(Q10:V10)</f>
        <v>392.76600000000002</v>
      </c>
      <c r="X10" s="188">
        <v>235.36</v>
      </c>
      <c r="Y10" s="12">
        <f>X10</f>
        <v>235.36</v>
      </c>
      <c r="AA10" s="193">
        <f>AB10*AC10*0.4</f>
        <v>12.984000000000002</v>
      </c>
      <c r="AB10" s="16">
        <f>(0.6+6)*2+6.3+6.35+0.6+0.6</f>
        <v>27.050000000000004</v>
      </c>
      <c r="AC10" s="16">
        <v>1.2</v>
      </c>
      <c r="AD10" s="101">
        <f>(AB10+0.2*4)*(AC10+0.1*2)*0.1</f>
        <v>3.8990000000000005</v>
      </c>
      <c r="AE10" s="101">
        <f>(AB10+0.2*4)*(AC10+0.2*2)*0.2</f>
        <v>8.9120000000000026</v>
      </c>
    </row>
    <row r="11" spans="2:31">
      <c r="B11" s="4" t="s">
        <v>148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>
        <f>AB10/0.2*2*(0.4+1+0.35+0.35+0.35+0.7)*1.21</f>
        <v>1031.0107499999999</v>
      </c>
      <c r="U11" s="188"/>
      <c r="V11" s="188"/>
      <c r="W11" s="11">
        <f t="shared" ref="W11" si="0">SUM(Q11:V11)</f>
        <v>1031.0107499999999</v>
      </c>
      <c r="X11" s="190">
        <f>0.55*3*AB10/0.2*0.395</f>
        <v>88.149187500000011</v>
      </c>
      <c r="Y11" s="12">
        <f>X11</f>
        <v>88.149187500000011</v>
      </c>
      <c r="AA11" s="2">
        <f>AB10*0.4*1</f>
        <v>10.820000000000002</v>
      </c>
      <c r="AB11" s="16"/>
      <c r="AC11" s="101"/>
      <c r="AD11" s="101"/>
      <c r="AE11" s="16"/>
    </row>
    <row r="12" spans="2:31">
      <c r="B12" s="4"/>
      <c r="C12" s="188"/>
      <c r="D12" s="10"/>
      <c r="E12" s="191"/>
      <c r="F12" s="191"/>
      <c r="G12" s="5"/>
      <c r="H12" s="5"/>
      <c r="I12" s="5"/>
      <c r="J12" s="5"/>
      <c r="K12" s="6"/>
      <c r="L12" s="5"/>
      <c r="M12" s="7"/>
      <c r="N12" s="8"/>
      <c r="O12" s="8"/>
      <c r="P12" s="195"/>
      <c r="Q12" s="191"/>
      <c r="R12" s="191"/>
      <c r="S12" s="5"/>
      <c r="T12" s="5"/>
      <c r="U12" s="5"/>
      <c r="V12" s="5"/>
      <c r="W12" s="100"/>
      <c r="X12" s="5"/>
      <c r="Y12" s="7"/>
      <c r="Z12" s="8"/>
      <c r="AA12" s="192"/>
      <c r="AD12" s="192"/>
    </row>
    <row r="13" spans="2:31">
      <c r="B13" s="9" t="s">
        <v>151</v>
      </c>
      <c r="C13" s="188"/>
      <c r="D13" s="10"/>
      <c r="E13" s="191"/>
      <c r="F13" s="191"/>
      <c r="G13" s="5"/>
      <c r="H13" s="5"/>
      <c r="I13" s="5"/>
      <c r="J13" s="5"/>
      <c r="K13" s="6"/>
      <c r="L13" s="5"/>
      <c r="M13" s="7"/>
      <c r="N13" s="8"/>
      <c r="O13" s="8"/>
      <c r="P13" s="195">
        <f>1384</f>
        <v>1384</v>
      </c>
      <c r="Q13" s="191"/>
      <c r="R13" s="191"/>
      <c r="S13" s="5"/>
      <c r="T13" s="5">
        <f>9998.9+616.1+391.22-T11-T10</f>
        <v>9582.4432500000003</v>
      </c>
      <c r="U13" s="5">
        <f>634.6+363.3</f>
        <v>997.90000000000009</v>
      </c>
      <c r="V13" s="5"/>
      <c r="W13" s="11">
        <f>SUM(P13:V13)</f>
        <v>11964.34325</v>
      </c>
      <c r="X13" s="196">
        <f>373.3-X11</f>
        <v>285.15081250000003</v>
      </c>
      <c r="Y13" s="12">
        <f>X13</f>
        <v>285.15081250000003</v>
      </c>
      <c r="Z13" s="8"/>
      <c r="AA13" s="198">
        <f>24.7*(6.3+0.6+6.35+0.6)*0.4-27.15*0.4*0.4</f>
        <v>132.494</v>
      </c>
      <c r="AD13" s="198">
        <f>34.2-AD10</f>
        <v>30.301000000000002</v>
      </c>
      <c r="AE13" s="2">
        <f>AD13*2</f>
        <v>60.602000000000004</v>
      </c>
    </row>
    <row r="14" spans="2:31">
      <c r="B14" s="4"/>
      <c r="C14" s="188"/>
      <c r="D14" s="10"/>
      <c r="E14" s="191"/>
      <c r="F14" s="191"/>
      <c r="G14" s="5"/>
      <c r="H14" s="5"/>
      <c r="I14" s="5"/>
      <c r="J14" s="5"/>
      <c r="K14" s="6"/>
      <c r="L14" s="5"/>
      <c r="M14" s="7"/>
      <c r="N14" s="8"/>
      <c r="O14" s="8"/>
      <c r="P14" s="195"/>
      <c r="Q14" s="191"/>
      <c r="R14" s="191"/>
      <c r="S14" s="5"/>
      <c r="T14" s="5"/>
      <c r="U14" s="5"/>
      <c r="V14" s="5"/>
      <c r="W14" s="6"/>
      <c r="X14" s="5"/>
      <c r="Y14" s="7"/>
      <c r="Z14" s="8"/>
      <c r="AA14" s="197"/>
      <c r="AD14" s="192"/>
    </row>
    <row r="15" spans="2:31">
      <c r="B15" s="4" t="s">
        <v>153</v>
      </c>
      <c r="C15" s="188"/>
      <c r="D15" s="10"/>
      <c r="E15" s="191"/>
      <c r="F15" s="191"/>
      <c r="G15" s="5"/>
      <c r="H15" s="5"/>
      <c r="I15" s="5"/>
      <c r="J15" s="5"/>
      <c r="K15" s="6"/>
      <c r="L15" s="5"/>
      <c r="M15" s="7"/>
      <c r="N15" s="8"/>
      <c r="O15" s="8"/>
      <c r="P15" s="200">
        <f>SUM(P9:P14)</f>
        <v>1384</v>
      </c>
      <c r="Q15" s="200"/>
      <c r="R15" s="200"/>
      <c r="S15" s="200"/>
      <c r="T15" s="200">
        <f t="shared" ref="T15:AE15" si="1">SUM(T9:T14)</f>
        <v>11006.220000000001</v>
      </c>
      <c r="U15" s="200">
        <f t="shared" si="1"/>
        <v>997.90000000000009</v>
      </c>
      <c r="V15" s="195"/>
      <c r="W15" s="199">
        <f>SUM(W9:W14)</f>
        <v>13388.119999999999</v>
      </c>
      <c r="X15" s="195">
        <f t="shared" si="1"/>
        <v>608.66000000000008</v>
      </c>
      <c r="Y15" s="199">
        <f>SUM(Y9:Y14)</f>
        <v>608.66000000000008</v>
      </c>
      <c r="Z15" s="195"/>
      <c r="AA15" s="200">
        <f t="shared" si="1"/>
        <v>156.298</v>
      </c>
      <c r="AB15" s="195"/>
      <c r="AC15" s="195"/>
      <c r="AD15" s="200">
        <f>SUM(AD9:AD14)</f>
        <v>34.200000000000003</v>
      </c>
      <c r="AE15" s="200">
        <f t="shared" si="1"/>
        <v>69.51400000000001</v>
      </c>
    </row>
    <row r="16" spans="2:31">
      <c r="B16" s="4"/>
      <c r="C16" s="188"/>
      <c r="D16" s="10"/>
      <c r="E16" s="191"/>
      <c r="F16" s="191"/>
      <c r="G16" s="5"/>
      <c r="H16" s="5"/>
      <c r="I16" s="5"/>
      <c r="J16" s="5"/>
      <c r="K16" s="6"/>
      <c r="L16" s="5"/>
      <c r="M16" s="7"/>
      <c r="N16" s="8"/>
      <c r="O16" s="8"/>
      <c r="P16" s="195"/>
      <c r="Q16" s="191"/>
      <c r="R16" s="191"/>
      <c r="S16" s="5"/>
      <c r="T16" s="5"/>
      <c r="U16" s="5"/>
      <c r="V16" s="5"/>
      <c r="W16" s="6"/>
      <c r="X16" s="5"/>
      <c r="Y16" s="7"/>
      <c r="Z16" s="8"/>
      <c r="AA16" s="192"/>
      <c r="AD16" s="192"/>
    </row>
    <row r="18" spans="2:34" ht="16">
      <c r="B18" s="221" t="s">
        <v>9</v>
      </c>
      <c r="C18" s="3"/>
      <c r="D18" s="18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88"/>
      <c r="Q18" s="3"/>
      <c r="R18" s="3"/>
      <c r="S18" s="3"/>
      <c r="T18" s="3">
        <v>562.52</v>
      </c>
      <c r="U18" s="3">
        <v>346.62</v>
      </c>
      <c r="V18" s="3"/>
      <c r="W18" s="11">
        <f>SUM(Q18:V18)</f>
        <v>909.14</v>
      </c>
      <c r="X18" s="3"/>
      <c r="Y18" s="12">
        <f>X18</f>
        <v>0</v>
      </c>
      <c r="Z18" s="3"/>
      <c r="AA18" s="194"/>
    </row>
    <row r="19" spans="2:34">
      <c r="B19" s="13"/>
      <c r="C19" s="3"/>
      <c r="D19" s="18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8"/>
      <c r="Q19" s="3"/>
      <c r="R19" s="3"/>
      <c r="S19" s="3"/>
      <c r="T19" s="3"/>
      <c r="U19" s="3"/>
      <c r="V19" s="3"/>
      <c r="W19" s="17"/>
      <c r="X19" s="3"/>
      <c r="Y19" s="3"/>
      <c r="Z19" s="3"/>
      <c r="AA19" s="194"/>
    </row>
    <row r="20" spans="2:34">
      <c r="B20" s="13"/>
      <c r="C20" s="3"/>
      <c r="D20" s="18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8"/>
      <c r="Q20" s="3"/>
      <c r="R20" s="3"/>
      <c r="S20" s="3"/>
      <c r="T20" s="3"/>
      <c r="U20" s="3"/>
      <c r="V20" s="3"/>
      <c r="W20" s="17"/>
      <c r="X20" s="3"/>
      <c r="Y20" s="3"/>
      <c r="Z20" s="3"/>
      <c r="AA20" s="194"/>
    </row>
    <row r="21" spans="2:34" ht="16">
      <c r="B21" s="221" t="s">
        <v>160</v>
      </c>
      <c r="C21" s="3"/>
      <c r="D21" s="18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8"/>
      <c r="Q21" s="3"/>
      <c r="R21" s="3"/>
      <c r="S21" s="3"/>
      <c r="T21" s="3"/>
      <c r="U21" s="3"/>
      <c r="V21" s="3"/>
      <c r="W21" s="17"/>
      <c r="X21" s="3"/>
      <c r="Y21" s="3"/>
      <c r="Z21" s="3"/>
      <c r="AA21" s="194"/>
    </row>
    <row r="22" spans="2:34">
      <c r="B22" s="13"/>
      <c r="C22" s="3"/>
      <c r="D22" s="18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8"/>
      <c r="Q22" s="3"/>
      <c r="R22" s="3"/>
      <c r="S22" s="3"/>
      <c r="T22" s="3"/>
      <c r="U22" s="3"/>
      <c r="V22" s="3"/>
      <c r="W22" s="17"/>
      <c r="X22" s="3"/>
      <c r="Y22" s="3"/>
      <c r="Z22" s="3"/>
      <c r="AA22" s="194"/>
    </row>
    <row r="23" spans="2:34">
      <c r="B23" s="13" t="s">
        <v>10</v>
      </c>
      <c r="C23" s="3">
        <v>5</v>
      </c>
      <c r="D23" s="188"/>
      <c r="E23" s="3"/>
      <c r="F23" s="3">
        <v>16</v>
      </c>
      <c r="G23" s="3"/>
      <c r="H23" s="3"/>
      <c r="I23" s="3"/>
      <c r="J23" s="3"/>
      <c r="K23" s="3"/>
      <c r="L23" s="3">
        <v>0</v>
      </c>
      <c r="M23" s="3"/>
      <c r="N23" s="3"/>
      <c r="O23" s="3"/>
      <c r="P23" s="188"/>
      <c r="Q23" s="3">
        <f>C23*E23</f>
        <v>0</v>
      </c>
      <c r="R23" s="188">
        <f>C23*F23</f>
        <v>80</v>
      </c>
      <c r="S23" s="3"/>
      <c r="T23" s="3"/>
      <c r="U23" s="3"/>
      <c r="V23" s="3"/>
      <c r="W23" s="11">
        <f>SUM(Q23:V23)</f>
        <v>80</v>
      </c>
      <c r="X23" s="3">
        <f>C23*L23</f>
        <v>0</v>
      </c>
      <c r="Y23" s="12">
        <f>X23</f>
        <v>0</v>
      </c>
      <c r="Z23" s="3"/>
      <c r="AA23" s="194"/>
    </row>
    <row r="24" spans="2:34">
      <c r="B24" s="13" t="s">
        <v>154</v>
      </c>
      <c r="C24" s="3">
        <v>1</v>
      </c>
      <c r="D24" s="188">
        <v>28.68</v>
      </c>
      <c r="E24" s="3"/>
      <c r="F24" s="3">
        <v>16</v>
      </c>
      <c r="G24" s="3"/>
      <c r="H24" s="3"/>
      <c r="I24" s="3"/>
      <c r="J24" s="3"/>
      <c r="K24" s="3"/>
      <c r="L24" s="3"/>
      <c r="M24" s="3"/>
      <c r="N24" s="3"/>
      <c r="O24" s="3"/>
      <c r="P24" s="188">
        <f>C24*D24</f>
        <v>28.68</v>
      </c>
      <c r="Q24" s="3"/>
      <c r="R24" s="188">
        <f>C24*F24</f>
        <v>16</v>
      </c>
      <c r="S24" s="3"/>
      <c r="T24" s="3"/>
      <c r="U24" s="3"/>
      <c r="V24" s="3"/>
      <c r="W24" s="11">
        <f>SUM(P24:V24)</f>
        <v>44.68</v>
      </c>
      <c r="X24" s="3">
        <f>C24*L24</f>
        <v>0</v>
      </c>
      <c r="Y24" s="12">
        <f>X24</f>
        <v>0</v>
      </c>
      <c r="Z24" s="3"/>
      <c r="AA24" s="194"/>
    </row>
    <row r="25" spans="2:34">
      <c r="B25" s="13" t="s">
        <v>11</v>
      </c>
      <c r="C25" s="188">
        <v>10</v>
      </c>
      <c r="D25" s="188">
        <v>28.68</v>
      </c>
      <c r="E25" s="188"/>
      <c r="F25" s="188">
        <v>16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>
        <f>C25*D25</f>
        <v>286.8</v>
      </c>
      <c r="Q25" s="188"/>
      <c r="R25" s="188">
        <f>C25*F25</f>
        <v>160</v>
      </c>
      <c r="S25" s="188"/>
      <c r="T25" s="188"/>
      <c r="U25" s="188"/>
      <c r="V25" s="188"/>
      <c r="W25" s="11">
        <f>SUM(P25:V25)</f>
        <v>446.8</v>
      </c>
      <c r="X25" s="188">
        <f>C25*L25</f>
        <v>0</v>
      </c>
      <c r="Y25" s="12">
        <f>X25</f>
        <v>0</v>
      </c>
      <c r="Z25" s="188"/>
      <c r="AA25" s="194"/>
    </row>
    <row r="26" spans="2:34">
      <c r="B26" s="13" t="s">
        <v>12</v>
      </c>
      <c r="C26" s="3">
        <v>2</v>
      </c>
      <c r="D26" s="188">
        <v>57.36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88">
        <f>C26*D26</f>
        <v>114.72</v>
      </c>
      <c r="Q26" s="3"/>
      <c r="R26" s="3">
        <f>C26*F26</f>
        <v>0</v>
      </c>
      <c r="S26" s="3"/>
      <c r="T26" s="3"/>
      <c r="U26" s="3"/>
      <c r="V26" s="3"/>
      <c r="W26" s="11">
        <f>SUM(P26:V26)</f>
        <v>114.72</v>
      </c>
      <c r="X26" s="3">
        <f>C26*L26</f>
        <v>0</v>
      </c>
      <c r="Y26" s="12">
        <f>X26</f>
        <v>0</v>
      </c>
      <c r="Z26" s="3"/>
      <c r="AA26" s="194"/>
    </row>
    <row r="27" spans="2:34">
      <c r="B27" s="13"/>
      <c r="C27" s="3"/>
      <c r="D27" s="18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8"/>
      <c r="Q27" s="3"/>
      <c r="R27" s="3"/>
      <c r="S27" s="3"/>
      <c r="T27" s="3"/>
      <c r="U27" s="3"/>
      <c r="V27" s="3"/>
      <c r="W27" s="17"/>
      <c r="X27" s="3"/>
      <c r="Y27" s="3"/>
      <c r="Z27" s="3"/>
      <c r="AA27" s="194"/>
    </row>
    <row r="28" spans="2:34">
      <c r="W28" s="18"/>
    </row>
    <row r="29" spans="2:34">
      <c r="B29" s="245" t="s">
        <v>212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12">
        <f t="shared" ref="P29:X29" si="2">SUM(P15:P28)</f>
        <v>1814.2</v>
      </c>
      <c r="Q29" s="12">
        <f t="shared" si="2"/>
        <v>0</v>
      </c>
      <c r="R29" s="12">
        <f t="shared" si="2"/>
        <v>256</v>
      </c>
      <c r="S29" s="12">
        <f t="shared" si="2"/>
        <v>0</v>
      </c>
      <c r="T29" s="12">
        <f t="shared" si="2"/>
        <v>11568.740000000002</v>
      </c>
      <c r="U29" s="12">
        <f t="shared" si="2"/>
        <v>1344.52</v>
      </c>
      <c r="V29" s="12">
        <f t="shared" si="2"/>
        <v>0</v>
      </c>
      <c r="W29" s="11">
        <f t="shared" si="2"/>
        <v>14983.459999999997</v>
      </c>
      <c r="X29" s="12">
        <f t="shared" si="2"/>
        <v>608.66000000000008</v>
      </c>
      <c r="Y29" s="12">
        <f>SUM(Y15:Y28)</f>
        <v>608.66000000000008</v>
      </c>
      <c r="Z29" s="12"/>
      <c r="AA29" s="12">
        <f>SUM(AA15:AA28)</f>
        <v>156.298</v>
      </c>
      <c r="AB29" s="12"/>
      <c r="AC29" s="12"/>
      <c r="AD29" s="12">
        <f t="shared" ref="AD29:AE29" si="3">SUM(AD15:AD28)</f>
        <v>34.200000000000003</v>
      </c>
      <c r="AE29" s="12">
        <f t="shared" si="3"/>
        <v>69.51400000000001</v>
      </c>
    </row>
    <row r="30" spans="2:34">
      <c r="W30" s="18"/>
    </row>
    <row r="31" spans="2:34" ht="47.25" customHeight="1">
      <c r="B31" s="4"/>
      <c r="C31" s="3" t="s">
        <v>3</v>
      </c>
      <c r="D31" s="5" t="s">
        <v>152</v>
      </c>
      <c r="E31" s="5" t="s">
        <v>142</v>
      </c>
      <c r="F31" s="5" t="s">
        <v>143</v>
      </c>
      <c r="G31" s="5" t="s">
        <v>144</v>
      </c>
      <c r="H31" s="5" t="s">
        <v>141</v>
      </c>
      <c r="I31" s="5" t="s">
        <v>145</v>
      </c>
      <c r="J31" s="5" t="s">
        <v>146</v>
      </c>
      <c r="K31" s="6" t="s">
        <v>147</v>
      </c>
      <c r="L31" s="5" t="s">
        <v>4</v>
      </c>
      <c r="M31" s="7" t="s">
        <v>5</v>
      </c>
      <c r="N31" s="8" t="s">
        <v>6</v>
      </c>
      <c r="O31" s="8"/>
      <c r="P31" s="5" t="s">
        <v>152</v>
      </c>
      <c r="Q31" s="5" t="s">
        <v>142</v>
      </c>
      <c r="R31" s="5" t="s">
        <v>143</v>
      </c>
      <c r="S31" s="5" t="s">
        <v>144</v>
      </c>
      <c r="T31" s="5" t="s">
        <v>141</v>
      </c>
      <c r="U31" s="5" t="s">
        <v>145</v>
      </c>
      <c r="V31" s="5" t="s">
        <v>146</v>
      </c>
      <c r="W31" s="6" t="s">
        <v>147</v>
      </c>
      <c r="X31" s="5" t="s">
        <v>149</v>
      </c>
      <c r="Y31" s="6" t="s">
        <v>147</v>
      </c>
      <c r="Z31" s="8" t="s">
        <v>6</v>
      </c>
      <c r="AA31" s="8" t="s">
        <v>150</v>
      </c>
      <c r="AD31" s="8" t="s">
        <v>102</v>
      </c>
      <c r="AE31" s="2" t="s">
        <v>101</v>
      </c>
      <c r="AF31" s="217"/>
      <c r="AG31" s="217"/>
      <c r="AH31" s="106"/>
    </row>
    <row r="32" spans="2:34">
      <c r="W32" s="18"/>
      <c r="AB32" s="194"/>
      <c r="AC32" s="194"/>
      <c r="AD32" s="194"/>
      <c r="AE32" s="194"/>
      <c r="AF32" s="194"/>
      <c r="AG32" s="194"/>
    </row>
    <row r="33" spans="2:33">
      <c r="B33" s="14" t="s">
        <v>13</v>
      </c>
      <c r="C33" s="3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88"/>
      <c r="Q33" s="3"/>
      <c r="R33" s="3"/>
      <c r="S33" s="3"/>
      <c r="T33" s="3"/>
      <c r="U33" s="3"/>
      <c r="V33" s="3"/>
      <c r="W33" s="17"/>
      <c r="X33" s="3"/>
      <c r="Y33" s="3"/>
      <c r="Z33" s="3"/>
      <c r="AA33" s="194"/>
      <c r="AB33" s="194"/>
      <c r="AC33" s="218"/>
      <c r="AD33" s="218"/>
      <c r="AE33" s="218"/>
      <c r="AF33" s="194"/>
      <c r="AG33" s="194"/>
    </row>
    <row r="34" spans="2:33">
      <c r="B34" s="219" t="s">
        <v>156</v>
      </c>
      <c r="W34" s="18"/>
      <c r="AB34" s="194"/>
      <c r="AC34" s="194"/>
      <c r="AD34" s="194"/>
      <c r="AE34" s="194"/>
      <c r="AF34" s="194"/>
      <c r="AG34" s="194"/>
    </row>
    <row r="35" spans="2:33">
      <c r="B35" s="13" t="s">
        <v>14</v>
      </c>
      <c r="C35" s="3">
        <v>5</v>
      </c>
      <c r="D35" s="188"/>
      <c r="E35" s="3"/>
      <c r="F35" s="3">
        <f>33.6</f>
        <v>33.6</v>
      </c>
      <c r="G35" s="3"/>
      <c r="H35" s="3"/>
      <c r="I35" s="3"/>
      <c r="J35" s="3"/>
      <c r="K35" s="3"/>
      <c r="L35" s="3">
        <v>18.010000000000002</v>
      </c>
      <c r="M35" s="3"/>
      <c r="N35" s="3">
        <v>0.53</v>
      </c>
      <c r="O35" s="3"/>
      <c r="P35" s="188"/>
      <c r="Q35" s="3"/>
      <c r="R35" s="3">
        <f>F35*C35</f>
        <v>168</v>
      </c>
      <c r="S35" s="3"/>
      <c r="T35" s="3"/>
      <c r="U35" s="3"/>
      <c r="V35" s="3"/>
      <c r="W35" s="11">
        <f>SUM(P35:V35)</f>
        <v>168</v>
      </c>
      <c r="X35" s="3">
        <f>C35*L35</f>
        <v>90.050000000000011</v>
      </c>
      <c r="Y35" s="12">
        <f>X35</f>
        <v>90.050000000000011</v>
      </c>
      <c r="Z35" s="3">
        <f>N35*C35</f>
        <v>2.6500000000000004</v>
      </c>
      <c r="AA35" s="194"/>
      <c r="AB35" s="194"/>
      <c r="AC35" s="218"/>
      <c r="AD35" s="218"/>
      <c r="AE35" s="218"/>
      <c r="AF35" s="194"/>
      <c r="AG35" s="194"/>
    </row>
    <row r="36" spans="2:33">
      <c r="B36" s="15" t="s">
        <v>157</v>
      </c>
      <c r="C36" s="3">
        <v>1</v>
      </c>
      <c r="D36" s="188">
        <f>52.58</f>
        <v>52.58</v>
      </c>
      <c r="E36" s="3"/>
      <c r="F36" s="3">
        <v>33.6</v>
      </c>
      <c r="G36" s="3"/>
      <c r="H36" s="3"/>
      <c r="I36" s="3"/>
      <c r="J36" s="3"/>
      <c r="K36" s="3"/>
      <c r="L36" s="3">
        <f>18.61+14.2</f>
        <v>32.81</v>
      </c>
      <c r="M36" s="3"/>
      <c r="N36" s="3">
        <v>0.53</v>
      </c>
      <c r="O36" s="3"/>
      <c r="P36" s="188">
        <f>C36*D36</f>
        <v>52.58</v>
      </c>
      <c r="Q36" s="3"/>
      <c r="R36" s="189">
        <f>F36*C36</f>
        <v>33.6</v>
      </c>
      <c r="S36" s="3">
        <f>C36*G36</f>
        <v>0</v>
      </c>
      <c r="T36" s="3"/>
      <c r="U36" s="3"/>
      <c r="V36" s="3"/>
      <c r="W36" s="11">
        <f t="shared" ref="W36:W38" si="4">SUM(P36:V36)</f>
        <v>86.18</v>
      </c>
      <c r="X36" s="3">
        <f>C36*L36</f>
        <v>32.81</v>
      </c>
      <c r="Y36" s="12">
        <f>X36</f>
        <v>32.81</v>
      </c>
      <c r="Z36" s="3">
        <f>N36*C36</f>
        <v>0.53</v>
      </c>
      <c r="AA36" s="194"/>
      <c r="AB36" s="194"/>
      <c r="AC36" s="194"/>
      <c r="AD36" s="194"/>
      <c r="AE36" s="194"/>
      <c r="AF36" s="194"/>
      <c r="AG36" s="194"/>
    </row>
    <row r="37" spans="2:33">
      <c r="B37" s="13" t="s">
        <v>15</v>
      </c>
      <c r="C37" s="3">
        <v>10</v>
      </c>
      <c r="D37" s="188">
        <f>62.14</f>
        <v>62.14</v>
      </c>
      <c r="E37" s="3"/>
      <c r="F37" s="3">
        <v>39.99</v>
      </c>
      <c r="G37" s="3"/>
      <c r="H37" s="3"/>
      <c r="I37" s="3"/>
      <c r="J37" s="3"/>
      <c r="K37" s="3"/>
      <c r="L37" s="3">
        <f>18.61+14.2</f>
        <v>32.81</v>
      </c>
      <c r="M37" s="3"/>
      <c r="N37" s="3">
        <v>0.53</v>
      </c>
      <c r="O37" s="3"/>
      <c r="P37" s="189">
        <f>C37*D37</f>
        <v>621.4</v>
      </c>
      <c r="Q37" s="3"/>
      <c r="R37" s="3">
        <f>F37*C37</f>
        <v>399.90000000000003</v>
      </c>
      <c r="S37" s="3"/>
      <c r="T37" s="3"/>
      <c r="U37" s="3"/>
      <c r="V37" s="3"/>
      <c r="W37" s="11">
        <f t="shared" si="4"/>
        <v>1021.3</v>
      </c>
      <c r="X37" s="3">
        <f>C37*L37</f>
        <v>328.1</v>
      </c>
      <c r="Y37" s="12">
        <f>X37</f>
        <v>328.1</v>
      </c>
      <c r="Z37" s="3">
        <f>N37*C37</f>
        <v>5.3000000000000007</v>
      </c>
      <c r="AA37" s="194"/>
      <c r="AB37" s="194"/>
      <c r="AC37" s="218"/>
      <c r="AD37" s="218"/>
      <c r="AE37" s="218"/>
      <c r="AF37" s="194"/>
      <c r="AG37" s="194"/>
    </row>
    <row r="38" spans="2:33">
      <c r="B38" s="13" t="s">
        <v>16</v>
      </c>
      <c r="C38" s="3">
        <v>2</v>
      </c>
      <c r="D38" s="188">
        <v>124.27</v>
      </c>
      <c r="E38" s="3"/>
      <c r="F38" s="3"/>
      <c r="G38" s="3"/>
      <c r="H38" s="3"/>
      <c r="I38" s="3"/>
      <c r="J38" s="3"/>
      <c r="K38" s="3"/>
      <c r="L38" s="3">
        <f>18.61+14.2</f>
        <v>32.81</v>
      </c>
      <c r="M38" s="3"/>
      <c r="N38" s="3">
        <v>0.53</v>
      </c>
      <c r="O38" s="3"/>
      <c r="P38" s="189">
        <f>C38*D38</f>
        <v>248.54</v>
      </c>
      <c r="Q38" s="3"/>
      <c r="R38" s="3">
        <f>F38*C38</f>
        <v>0</v>
      </c>
      <c r="S38" s="3"/>
      <c r="T38" s="3"/>
      <c r="U38" s="3"/>
      <c r="V38" s="3"/>
      <c r="W38" s="11">
        <f t="shared" si="4"/>
        <v>248.54</v>
      </c>
      <c r="X38" s="3">
        <f>C38*L38</f>
        <v>65.62</v>
      </c>
      <c r="Y38" s="12">
        <f>X38</f>
        <v>65.62</v>
      </c>
      <c r="Z38" s="3">
        <f>N38*C38</f>
        <v>1.06</v>
      </c>
      <c r="AA38" s="194"/>
      <c r="AB38" s="194"/>
      <c r="AC38" s="218"/>
      <c r="AD38" s="218"/>
      <c r="AE38" s="218"/>
      <c r="AF38" s="194"/>
      <c r="AG38" s="194"/>
    </row>
    <row r="39" spans="2:33">
      <c r="B39" s="13"/>
      <c r="C39" s="3"/>
      <c r="D39" s="18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88"/>
      <c r="Q39" s="3"/>
      <c r="R39" s="3"/>
      <c r="S39" s="3"/>
      <c r="T39" s="3"/>
      <c r="U39" s="3"/>
      <c r="V39" s="3"/>
      <c r="W39" s="11"/>
      <c r="X39" s="3"/>
      <c r="Y39" s="12"/>
      <c r="Z39" s="3"/>
      <c r="AA39" s="194"/>
      <c r="AB39" s="194"/>
      <c r="AC39" s="218"/>
      <c r="AD39" s="218"/>
      <c r="AE39" s="218"/>
      <c r="AF39" s="194"/>
      <c r="AG39" s="194"/>
    </row>
    <row r="40" spans="2:33">
      <c r="W40" s="18"/>
      <c r="AB40" s="194"/>
      <c r="AC40" s="194"/>
      <c r="AD40" s="194"/>
      <c r="AE40" s="194"/>
      <c r="AF40" s="194"/>
      <c r="AG40" s="194"/>
    </row>
    <row r="41" spans="2:33">
      <c r="B41" s="13" t="s">
        <v>17</v>
      </c>
      <c r="C41" s="3"/>
      <c r="D41" s="18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88"/>
      <c r="Q41" s="3"/>
      <c r="R41" s="3"/>
      <c r="S41" s="3"/>
      <c r="T41" s="3"/>
      <c r="U41" s="3"/>
      <c r="V41" s="3"/>
      <c r="W41" s="17"/>
      <c r="X41" s="3"/>
      <c r="Y41" s="3"/>
      <c r="Z41" s="3"/>
      <c r="AA41" s="194"/>
      <c r="AB41" s="194"/>
      <c r="AC41" s="194"/>
      <c r="AD41" s="194"/>
      <c r="AE41" s="194"/>
      <c r="AF41" s="194"/>
      <c r="AG41" s="194"/>
    </row>
    <row r="42" spans="2:33">
      <c r="B42" s="13" t="s">
        <v>18</v>
      </c>
      <c r="C42" s="3"/>
      <c r="D42" s="18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88"/>
      <c r="Q42" s="3"/>
      <c r="R42" s="3"/>
      <c r="S42" s="3"/>
      <c r="T42" s="3"/>
      <c r="U42" s="189">
        <f>3981.72</f>
        <v>3981.72</v>
      </c>
      <c r="V42" s="3"/>
      <c r="W42" s="11">
        <f>SUM(Q42:V42)</f>
        <v>3981.72</v>
      </c>
      <c r="X42" s="189">
        <f>170.65</f>
        <v>170.65</v>
      </c>
      <c r="Y42" s="12">
        <f>X42</f>
        <v>170.65</v>
      </c>
      <c r="Z42" s="189">
        <v>49.5</v>
      </c>
      <c r="AA42" s="194"/>
    </row>
    <row r="43" spans="2:33">
      <c r="W43" s="18"/>
    </row>
    <row r="44" spans="2:33">
      <c r="W44" s="18"/>
    </row>
    <row r="45" spans="2:33">
      <c r="B45" s="219" t="s">
        <v>158</v>
      </c>
      <c r="W45" s="18"/>
      <c r="AB45" s="194"/>
      <c r="AC45" s="194"/>
      <c r="AD45" s="194"/>
      <c r="AE45" s="194"/>
      <c r="AF45" s="194"/>
      <c r="AG45" s="194"/>
    </row>
    <row r="46" spans="2:33">
      <c r="W46" s="18"/>
    </row>
    <row r="47" spans="2:33">
      <c r="B47" s="13" t="s">
        <v>14</v>
      </c>
      <c r="C47" s="189">
        <v>10</v>
      </c>
      <c r="D47" s="189">
        <v>61.54</v>
      </c>
      <c r="E47" s="189"/>
      <c r="F47" s="189">
        <v>39.6</v>
      </c>
      <c r="G47" s="189"/>
      <c r="H47" s="189"/>
      <c r="I47" s="189"/>
      <c r="J47" s="189"/>
      <c r="K47" s="189"/>
      <c r="L47" s="189">
        <f>18.61+14.2</f>
        <v>32.81</v>
      </c>
      <c r="M47" s="189"/>
      <c r="N47" s="189">
        <v>0.52</v>
      </c>
      <c r="O47" s="189"/>
      <c r="P47" s="189">
        <f>C47*D47</f>
        <v>615.4</v>
      </c>
      <c r="Q47" s="189"/>
      <c r="R47" s="189">
        <f>F47*C47</f>
        <v>396</v>
      </c>
      <c r="S47" s="189"/>
      <c r="T47" s="189"/>
      <c r="U47" s="189"/>
      <c r="V47" s="189"/>
      <c r="W47" s="11">
        <f>SUM(P47:V47)</f>
        <v>1011.4</v>
      </c>
      <c r="X47" s="189">
        <f>C47*L47</f>
        <v>328.1</v>
      </c>
      <c r="Y47" s="12">
        <f>X47</f>
        <v>328.1</v>
      </c>
      <c r="Z47" s="189">
        <f>N47*C47</f>
        <v>5.2</v>
      </c>
      <c r="AA47" s="194"/>
      <c r="AB47" s="194"/>
      <c r="AC47" s="218"/>
      <c r="AD47" s="218"/>
      <c r="AE47" s="218"/>
      <c r="AF47" s="194"/>
      <c r="AG47" s="194"/>
    </row>
    <row r="48" spans="2:33">
      <c r="B48" s="13" t="s">
        <v>15</v>
      </c>
      <c r="C48" s="189">
        <v>2</v>
      </c>
      <c r="D48" s="189">
        <v>124.27</v>
      </c>
      <c r="E48" s="189"/>
      <c r="F48" s="189"/>
      <c r="G48" s="189"/>
      <c r="H48" s="189"/>
      <c r="I48" s="189"/>
      <c r="J48" s="189"/>
      <c r="K48" s="189"/>
      <c r="L48" s="189">
        <f>18.61+14.2</f>
        <v>32.81</v>
      </c>
      <c r="M48" s="189"/>
      <c r="N48" s="189">
        <v>0.52</v>
      </c>
      <c r="O48" s="189"/>
      <c r="P48" s="189">
        <f>C48*D48</f>
        <v>248.54</v>
      </c>
      <c r="Q48" s="189"/>
      <c r="R48" s="189">
        <f>F48*C48</f>
        <v>0</v>
      </c>
      <c r="S48" s="189"/>
      <c r="T48" s="189"/>
      <c r="U48" s="189"/>
      <c r="V48" s="189"/>
      <c r="W48" s="11">
        <f t="shared" ref="W48" si="5">SUM(P48:V48)</f>
        <v>248.54</v>
      </c>
      <c r="X48" s="189">
        <f>C48*L48</f>
        <v>65.62</v>
      </c>
      <c r="Y48" s="12">
        <f>X48</f>
        <v>65.62</v>
      </c>
      <c r="Z48" s="189">
        <f>N48*C48</f>
        <v>1.04</v>
      </c>
      <c r="AA48" s="194"/>
      <c r="AB48" s="194"/>
      <c r="AC48" s="218"/>
      <c r="AD48" s="218"/>
      <c r="AE48" s="218"/>
      <c r="AF48" s="194"/>
      <c r="AG48" s="194"/>
    </row>
    <row r="49" spans="2:33">
      <c r="B49" s="13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1"/>
      <c r="X49" s="189"/>
      <c r="Y49" s="12"/>
      <c r="Z49" s="189"/>
      <c r="AA49" s="194"/>
      <c r="AB49" s="194"/>
      <c r="AC49" s="218"/>
      <c r="AD49" s="218"/>
      <c r="AE49" s="218"/>
      <c r="AF49" s="194"/>
      <c r="AG49" s="194"/>
    </row>
    <row r="50" spans="2:33">
      <c r="W50" s="18"/>
      <c r="AB50" s="194"/>
      <c r="AC50" s="194"/>
      <c r="AD50" s="194"/>
      <c r="AE50" s="194"/>
      <c r="AF50" s="194"/>
      <c r="AG50" s="194"/>
    </row>
    <row r="51" spans="2:33">
      <c r="B51" s="13" t="s">
        <v>17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7"/>
      <c r="X51" s="189"/>
      <c r="Y51" s="189"/>
      <c r="Z51" s="189"/>
      <c r="AA51" s="194"/>
      <c r="AB51" s="194"/>
      <c r="AC51" s="194"/>
      <c r="AD51" s="194"/>
      <c r="AE51" s="194"/>
      <c r="AF51" s="194"/>
      <c r="AG51" s="194"/>
    </row>
    <row r="52" spans="2:33">
      <c r="B52" s="13" t="s">
        <v>18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>
        <v>360.84</v>
      </c>
      <c r="V52" s="189"/>
      <c r="W52" s="11">
        <f>SUM(Q52:V52)</f>
        <v>360.84</v>
      </c>
      <c r="X52" s="189">
        <v>15.93</v>
      </c>
      <c r="Y52" s="12">
        <f>X52</f>
        <v>15.93</v>
      </c>
      <c r="Z52" s="189">
        <v>4.55</v>
      </c>
      <c r="AA52" s="194"/>
    </row>
    <row r="53" spans="2:33">
      <c r="W53" s="18"/>
    </row>
    <row r="54" spans="2:33">
      <c r="B54" s="219" t="s">
        <v>159</v>
      </c>
      <c r="W54" s="18"/>
      <c r="AB54" s="194"/>
      <c r="AC54" s="194"/>
      <c r="AD54" s="194"/>
      <c r="AE54" s="194"/>
      <c r="AF54" s="194"/>
      <c r="AG54" s="194"/>
    </row>
    <row r="55" spans="2:33">
      <c r="W55" s="18"/>
    </row>
    <row r="56" spans="2:33">
      <c r="B56" s="13" t="s">
        <v>14</v>
      </c>
      <c r="C56" s="189">
        <v>10</v>
      </c>
      <c r="D56" s="189">
        <v>45.41</v>
      </c>
      <c r="E56" s="189"/>
      <c r="F56" s="189">
        <v>29.6</v>
      </c>
      <c r="G56" s="189"/>
      <c r="H56" s="189"/>
      <c r="I56" s="189"/>
      <c r="J56" s="189"/>
      <c r="K56" s="189"/>
      <c r="L56" s="189">
        <f>16.21+12.37</f>
        <v>28.58</v>
      </c>
      <c r="M56" s="189"/>
      <c r="N56" s="189">
        <v>0.43</v>
      </c>
      <c r="O56" s="189"/>
      <c r="P56" s="189">
        <f>C56*D56</f>
        <v>454.09999999999997</v>
      </c>
      <c r="Q56" s="189"/>
      <c r="R56" s="189">
        <f>F56*C56</f>
        <v>296</v>
      </c>
      <c r="S56" s="189"/>
      <c r="T56" s="189"/>
      <c r="U56" s="189"/>
      <c r="V56" s="189"/>
      <c r="W56" s="11">
        <f>SUM(P56:V56)</f>
        <v>750.09999999999991</v>
      </c>
      <c r="X56" s="189">
        <f>C56*L56</f>
        <v>285.79999999999995</v>
      </c>
      <c r="Y56" s="12">
        <f>X56</f>
        <v>285.79999999999995</v>
      </c>
      <c r="Z56" s="189">
        <f>N56*C56</f>
        <v>4.3</v>
      </c>
      <c r="AA56" s="194"/>
      <c r="AB56" s="194"/>
      <c r="AC56" s="218"/>
      <c r="AD56" s="218"/>
      <c r="AE56" s="218"/>
      <c r="AF56" s="194"/>
      <c r="AG56" s="194"/>
    </row>
    <row r="57" spans="2:33">
      <c r="B57" s="13" t="s">
        <v>15</v>
      </c>
      <c r="C57" s="189">
        <v>2</v>
      </c>
      <c r="D57" s="189">
        <v>90.81</v>
      </c>
      <c r="E57" s="189"/>
      <c r="F57" s="189"/>
      <c r="G57" s="189"/>
      <c r="H57" s="189"/>
      <c r="I57" s="189"/>
      <c r="J57" s="189"/>
      <c r="K57" s="189"/>
      <c r="L57" s="189">
        <f>16.21+12.37</f>
        <v>28.58</v>
      </c>
      <c r="M57" s="189"/>
      <c r="N57" s="189">
        <v>0.43</v>
      </c>
      <c r="O57" s="189"/>
      <c r="P57" s="189">
        <f>C57*D57</f>
        <v>181.62</v>
      </c>
      <c r="Q57" s="189"/>
      <c r="R57" s="189">
        <f>F57*C57</f>
        <v>0</v>
      </c>
      <c r="S57" s="189"/>
      <c r="T57" s="189"/>
      <c r="U57" s="189"/>
      <c r="V57" s="189"/>
      <c r="W57" s="11">
        <f t="shared" ref="W57" si="6">SUM(P57:V57)</f>
        <v>181.62</v>
      </c>
      <c r="X57" s="189">
        <f>C57*L57</f>
        <v>57.16</v>
      </c>
      <c r="Y57" s="12">
        <f>X57</f>
        <v>57.16</v>
      </c>
      <c r="Z57" s="189">
        <f>N57*C57</f>
        <v>0.86</v>
      </c>
      <c r="AA57" s="194"/>
      <c r="AB57" s="194"/>
      <c r="AC57" s="218"/>
      <c r="AD57" s="218"/>
      <c r="AE57" s="218"/>
      <c r="AF57" s="194"/>
      <c r="AG57" s="194"/>
    </row>
    <row r="58" spans="2:33">
      <c r="B58" s="13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1"/>
      <c r="X58" s="189"/>
      <c r="Y58" s="12"/>
      <c r="Z58" s="189"/>
      <c r="AA58" s="194"/>
      <c r="AB58" s="194"/>
      <c r="AC58" s="218"/>
      <c r="AD58" s="218"/>
      <c r="AE58" s="218"/>
      <c r="AF58" s="194"/>
      <c r="AG58" s="194"/>
    </row>
    <row r="59" spans="2:33">
      <c r="W59" s="18"/>
      <c r="AB59" s="194"/>
      <c r="AC59" s="194"/>
      <c r="AD59" s="194"/>
      <c r="AE59" s="194"/>
      <c r="AF59" s="194"/>
      <c r="AG59" s="194"/>
    </row>
    <row r="60" spans="2:33">
      <c r="W60" s="18"/>
    </row>
    <row r="61" spans="2:33">
      <c r="B61" s="220" t="s">
        <v>211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>
        <f>SUM(P35:P60)</f>
        <v>2422.1799999999998</v>
      </c>
      <c r="Q61" s="112">
        <f t="shared" ref="Q61:Z61" si="7">SUM(Q35:Q60)</f>
        <v>0</v>
      </c>
      <c r="R61" s="112">
        <f>SUM(R35:R60)</f>
        <v>1293.5</v>
      </c>
      <c r="S61" s="112">
        <f t="shared" si="7"/>
        <v>0</v>
      </c>
      <c r="T61" s="112">
        <f t="shared" si="7"/>
        <v>0</v>
      </c>
      <c r="U61" s="112">
        <f t="shared" si="7"/>
        <v>4342.5599999999995</v>
      </c>
      <c r="V61" s="112">
        <f t="shared" si="7"/>
        <v>0</v>
      </c>
      <c r="W61" s="11">
        <f t="shared" si="7"/>
        <v>8058.2399999999989</v>
      </c>
      <c r="X61" s="112">
        <f t="shared" si="7"/>
        <v>1439.8400000000001</v>
      </c>
      <c r="Y61" s="11">
        <f t="shared" si="7"/>
        <v>1439.8400000000001</v>
      </c>
      <c r="Z61" s="11">
        <f t="shared" si="7"/>
        <v>74.989999999999995</v>
      </c>
    </row>
    <row r="62" spans="2:33">
      <c r="W62" s="18"/>
    </row>
    <row r="63" spans="2:33">
      <c r="W63" s="18"/>
    </row>
    <row r="64" spans="2:33">
      <c r="W64" s="18"/>
    </row>
    <row r="65" spans="2:34" ht="47.25" customHeight="1">
      <c r="B65" s="4"/>
      <c r="C65" s="189" t="s">
        <v>3</v>
      </c>
      <c r="D65" s="5" t="s">
        <v>152</v>
      </c>
      <c r="E65" s="5" t="s">
        <v>142</v>
      </c>
      <c r="F65" s="5" t="s">
        <v>143</v>
      </c>
      <c r="G65" s="5" t="s">
        <v>144</v>
      </c>
      <c r="H65" s="5" t="s">
        <v>141</v>
      </c>
      <c r="I65" s="5" t="s">
        <v>145</v>
      </c>
      <c r="J65" s="5" t="s">
        <v>146</v>
      </c>
      <c r="K65" s="6" t="s">
        <v>147</v>
      </c>
      <c r="L65" s="5" t="s">
        <v>4</v>
      </c>
      <c r="M65" s="7" t="s">
        <v>5</v>
      </c>
      <c r="N65" s="8" t="s">
        <v>6</v>
      </c>
      <c r="O65" s="8"/>
      <c r="P65" s="5" t="s">
        <v>152</v>
      </c>
      <c r="Q65" s="5" t="s">
        <v>142</v>
      </c>
      <c r="R65" s="5" t="s">
        <v>143</v>
      </c>
      <c r="S65" s="5" t="s">
        <v>144</v>
      </c>
      <c r="T65" s="5" t="s">
        <v>141</v>
      </c>
      <c r="U65" s="5" t="s">
        <v>145</v>
      </c>
      <c r="V65" s="5" t="s">
        <v>146</v>
      </c>
      <c r="W65" s="6" t="s">
        <v>147</v>
      </c>
      <c r="X65" s="5" t="s">
        <v>149</v>
      </c>
      <c r="Y65" s="6" t="s">
        <v>147</v>
      </c>
      <c r="Z65" s="8" t="s">
        <v>6</v>
      </c>
      <c r="AA65" s="8" t="s">
        <v>150</v>
      </c>
      <c r="AD65" s="8" t="s">
        <v>102</v>
      </c>
      <c r="AE65" s="2" t="s">
        <v>101</v>
      </c>
      <c r="AF65" s="217"/>
      <c r="AG65" s="217"/>
      <c r="AH65" s="106"/>
    </row>
    <row r="66" spans="2:34" ht="47.25" customHeight="1">
      <c r="B66" s="4"/>
      <c r="C66" s="189"/>
      <c r="D66" s="5"/>
      <c r="E66" s="5"/>
      <c r="F66" s="5"/>
      <c r="G66" s="5"/>
      <c r="H66" s="5"/>
      <c r="I66" s="5"/>
      <c r="J66" s="5"/>
      <c r="K66" s="6"/>
      <c r="L66" s="5"/>
      <c r="M66" s="7"/>
      <c r="N66" s="8"/>
      <c r="O66" s="192"/>
      <c r="P66" s="222"/>
      <c r="Q66" s="5"/>
      <c r="R66" s="5"/>
      <c r="S66" s="5"/>
      <c r="T66" s="5"/>
      <c r="U66" s="5"/>
      <c r="V66" s="5"/>
      <c r="W66" s="6"/>
      <c r="X66" s="5"/>
      <c r="Y66" s="6"/>
      <c r="Z66" s="8"/>
      <c r="AA66" s="192"/>
      <c r="AD66" s="192"/>
      <c r="AF66" s="217"/>
      <c r="AG66" s="217"/>
      <c r="AH66" s="106"/>
    </row>
    <row r="67" spans="2:34">
      <c r="B67" s="219" t="s">
        <v>162</v>
      </c>
      <c r="C67" s="3"/>
      <c r="D67" s="188"/>
      <c r="E67" s="3"/>
      <c r="F67" s="3"/>
      <c r="G67" s="3"/>
      <c r="H67" s="3"/>
      <c r="I67" s="3"/>
      <c r="J67" s="3"/>
      <c r="K67" s="3"/>
      <c r="L67" s="3"/>
      <c r="M67" s="3"/>
      <c r="N67" s="3"/>
      <c r="Q67" s="223"/>
      <c r="R67" s="223"/>
      <c r="S67" s="223"/>
      <c r="T67" s="223"/>
      <c r="U67" s="223"/>
      <c r="V67" s="223"/>
      <c r="W67" s="17"/>
      <c r="X67" s="3"/>
      <c r="Y67" s="3"/>
      <c r="Z67" s="3"/>
      <c r="AA67" s="194"/>
    </row>
    <row r="68" spans="2:34">
      <c r="B68" s="13"/>
      <c r="C68" s="3"/>
      <c r="D68" s="188"/>
      <c r="E68" s="3"/>
      <c r="F68" s="3"/>
      <c r="G68" s="3"/>
      <c r="H68" s="3"/>
      <c r="I68" s="3"/>
      <c r="J68" s="3"/>
      <c r="K68" s="3"/>
      <c r="L68" s="3"/>
      <c r="M68" s="3"/>
      <c r="N68" s="3"/>
      <c r="Q68" s="3"/>
      <c r="R68" s="3"/>
      <c r="S68" s="3"/>
      <c r="T68" s="3"/>
      <c r="U68" s="3"/>
      <c r="V68" s="3"/>
      <c r="W68" s="17"/>
      <c r="X68" s="3"/>
      <c r="Y68" s="3"/>
      <c r="Z68" s="3"/>
      <c r="AA68" s="194"/>
    </row>
    <row r="69" spans="2:34">
      <c r="B69" s="14" t="s">
        <v>161</v>
      </c>
      <c r="C69" s="3"/>
      <c r="D69" s="188">
        <v>53.77</v>
      </c>
      <c r="E69" s="3"/>
      <c r="F69" s="3">
        <f>1384.23+36</f>
        <v>1420.23</v>
      </c>
      <c r="G69" s="3">
        <v>607.21</v>
      </c>
      <c r="H69" s="3"/>
      <c r="I69" s="3"/>
      <c r="J69" s="3"/>
      <c r="K69" s="3"/>
      <c r="L69" s="3">
        <f>325.65+716+28.44</f>
        <v>1070.0900000000001</v>
      </c>
      <c r="M69" s="3"/>
      <c r="N69" s="3">
        <v>19.18</v>
      </c>
      <c r="P69" s="189">
        <f>D69</f>
        <v>53.77</v>
      </c>
      <c r="Q69" s="189">
        <f t="shared" ref="Q69:V69" si="8">E69</f>
        <v>0</v>
      </c>
      <c r="R69" s="189">
        <f t="shared" si="8"/>
        <v>1420.23</v>
      </c>
      <c r="S69" s="189">
        <f t="shared" si="8"/>
        <v>607.21</v>
      </c>
      <c r="T69" s="189">
        <f t="shared" si="8"/>
        <v>0</v>
      </c>
      <c r="U69" s="189">
        <f t="shared" si="8"/>
        <v>0</v>
      </c>
      <c r="V69" s="189">
        <f t="shared" si="8"/>
        <v>0</v>
      </c>
      <c r="W69" s="11">
        <f>SUM(P69:V69)</f>
        <v>2081.21</v>
      </c>
      <c r="X69" s="3">
        <f>L69</f>
        <v>1070.0900000000001</v>
      </c>
      <c r="Y69" s="12">
        <f>X69</f>
        <v>1070.0900000000001</v>
      </c>
      <c r="Z69" s="3">
        <f>N69</f>
        <v>19.18</v>
      </c>
      <c r="AA69" s="194"/>
    </row>
    <row r="70" spans="2:34">
      <c r="B70" s="14" t="s">
        <v>19</v>
      </c>
      <c r="C70" s="3"/>
      <c r="D70" s="188"/>
      <c r="E70" s="3"/>
      <c r="F70" s="3">
        <v>86.39</v>
      </c>
      <c r="G70" s="3"/>
      <c r="H70" s="3">
        <v>82.56</v>
      </c>
      <c r="I70" s="3"/>
      <c r="J70" s="3">
        <f>3740.27+375.88</f>
        <v>4116.1499999999996</v>
      </c>
      <c r="K70" s="3"/>
      <c r="L70" s="3">
        <f>91.25+24.27</f>
        <v>115.52</v>
      </c>
      <c r="M70" s="3"/>
      <c r="N70" s="3">
        <v>48.48</v>
      </c>
      <c r="P70" s="189">
        <f>D70</f>
        <v>0</v>
      </c>
      <c r="Q70" s="189">
        <f t="shared" ref="Q70" si="9">E70</f>
        <v>0</v>
      </c>
      <c r="R70" s="189">
        <f t="shared" ref="R70" si="10">F70</f>
        <v>86.39</v>
      </c>
      <c r="S70" s="189">
        <f t="shared" ref="S70" si="11">G70</f>
        <v>0</v>
      </c>
      <c r="T70" s="189">
        <f t="shared" ref="T70" si="12">H70</f>
        <v>82.56</v>
      </c>
      <c r="U70" s="189">
        <f t="shared" ref="U70" si="13">I70</f>
        <v>0</v>
      </c>
      <c r="V70" s="189">
        <f t="shared" ref="V70" si="14">J70</f>
        <v>4116.1499999999996</v>
      </c>
      <c r="W70" s="11">
        <f>SUM(P70:V70)</f>
        <v>4285.0999999999995</v>
      </c>
      <c r="X70" s="189">
        <f>L70</f>
        <v>115.52</v>
      </c>
      <c r="Y70" s="12">
        <f>X70</f>
        <v>115.52</v>
      </c>
      <c r="Z70" s="189">
        <f>N70</f>
        <v>48.48</v>
      </c>
      <c r="AA70" s="194"/>
    </row>
    <row r="71" spans="2:34">
      <c r="B71" s="14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Q71" s="189"/>
      <c r="R71" s="189"/>
      <c r="S71" s="189"/>
      <c r="T71" s="189"/>
      <c r="U71" s="189"/>
      <c r="V71" s="189"/>
      <c r="W71" s="11"/>
      <c r="X71" s="189"/>
      <c r="Y71" s="12"/>
      <c r="Z71" s="189"/>
      <c r="AA71" s="194"/>
    </row>
    <row r="72" spans="2:34">
      <c r="B72" s="219" t="s">
        <v>163</v>
      </c>
      <c r="C72" s="3"/>
      <c r="D72" s="188"/>
      <c r="E72" s="3"/>
      <c r="F72" s="3"/>
      <c r="G72" s="3"/>
      <c r="H72" s="3"/>
      <c r="I72" s="3"/>
      <c r="J72" s="3"/>
      <c r="K72" s="3"/>
      <c r="L72" s="3"/>
      <c r="M72" s="3"/>
      <c r="N72" s="3"/>
      <c r="Q72" s="3"/>
      <c r="R72" s="3"/>
      <c r="S72" s="3"/>
      <c r="T72" s="3"/>
      <c r="U72" s="3"/>
      <c r="V72" s="3"/>
      <c r="W72" s="17"/>
      <c r="X72" s="3"/>
      <c r="Y72" s="3"/>
      <c r="Z72" s="3"/>
      <c r="AA72" s="194"/>
    </row>
    <row r="73" spans="2:34">
      <c r="B73" s="13"/>
      <c r="C73" s="3"/>
      <c r="D73" s="188"/>
      <c r="E73" s="3"/>
      <c r="F73" s="3"/>
      <c r="G73" s="3"/>
      <c r="H73" s="3"/>
      <c r="I73" s="3"/>
      <c r="J73" s="3"/>
      <c r="K73" s="3"/>
      <c r="L73" s="3"/>
      <c r="M73" s="3"/>
      <c r="N73" s="3"/>
      <c r="Q73" s="3"/>
      <c r="R73" s="3"/>
      <c r="S73" s="3"/>
      <c r="T73" s="3"/>
      <c r="U73" s="3"/>
      <c r="V73" s="3"/>
      <c r="W73" s="11"/>
      <c r="X73" s="3"/>
      <c r="Y73" s="12"/>
      <c r="Z73" s="3"/>
      <c r="AA73" s="194"/>
    </row>
    <row r="74" spans="2:34">
      <c r="B74" s="14" t="s">
        <v>161</v>
      </c>
      <c r="C74" s="3"/>
      <c r="D74" s="188">
        <v>89.62</v>
      </c>
      <c r="E74" s="3"/>
      <c r="F74" s="3">
        <f>2140.13+71.99</f>
        <v>2212.12</v>
      </c>
      <c r="G74" s="3"/>
      <c r="H74" s="3"/>
      <c r="I74" s="3"/>
      <c r="J74" s="3"/>
      <c r="K74" s="3"/>
      <c r="L74" s="3">
        <f>1139.95+28.44</f>
        <v>1168.3900000000001</v>
      </c>
      <c r="M74" s="3"/>
      <c r="N74" s="3">
        <v>16.96</v>
      </c>
      <c r="P74" s="189">
        <f>D74</f>
        <v>89.62</v>
      </c>
      <c r="Q74" s="189">
        <f t="shared" ref="Q74:Q75" si="15">E74</f>
        <v>0</v>
      </c>
      <c r="R74" s="189">
        <f t="shared" ref="R74:R75" si="16">F74</f>
        <v>2212.12</v>
      </c>
      <c r="S74" s="189">
        <f t="shared" ref="S74:S75" si="17">G74</f>
        <v>0</v>
      </c>
      <c r="T74" s="189">
        <f t="shared" ref="T74:T75" si="18">H74</f>
        <v>0</v>
      </c>
      <c r="U74" s="189">
        <f t="shared" ref="U74:U75" si="19">I74</f>
        <v>0</v>
      </c>
      <c r="V74" s="189">
        <f t="shared" ref="V74:V75" si="20">J74</f>
        <v>0</v>
      </c>
      <c r="W74" s="11">
        <f>SUM(P74:V74)</f>
        <v>2301.7399999999998</v>
      </c>
      <c r="X74" s="189">
        <f>L74</f>
        <v>1168.3900000000001</v>
      </c>
      <c r="Y74" s="12">
        <f>X74</f>
        <v>1168.3900000000001</v>
      </c>
      <c r="Z74" s="189">
        <f>N74</f>
        <v>16.96</v>
      </c>
      <c r="AA74" s="194"/>
    </row>
    <row r="75" spans="2:34">
      <c r="B75" s="14" t="s">
        <v>19</v>
      </c>
      <c r="C75" s="3"/>
      <c r="D75" s="188"/>
      <c r="E75" s="3"/>
      <c r="F75" s="189">
        <v>86.39</v>
      </c>
      <c r="G75" s="189"/>
      <c r="H75" s="189"/>
      <c r="I75" s="189">
        <v>60.66</v>
      </c>
      <c r="J75" s="189">
        <f>3172.44+424.48</f>
        <v>3596.92</v>
      </c>
      <c r="K75" s="189"/>
      <c r="L75" s="189">
        <f>77.56+24.27</f>
        <v>101.83</v>
      </c>
      <c r="M75" s="189"/>
      <c r="N75" s="189">
        <v>41.12</v>
      </c>
      <c r="P75" s="189">
        <f>D75</f>
        <v>0</v>
      </c>
      <c r="Q75" s="189">
        <f t="shared" si="15"/>
        <v>0</v>
      </c>
      <c r="R75" s="189">
        <f t="shared" si="16"/>
        <v>86.39</v>
      </c>
      <c r="S75" s="189">
        <f t="shared" si="17"/>
        <v>0</v>
      </c>
      <c r="T75" s="189">
        <f t="shared" si="18"/>
        <v>0</v>
      </c>
      <c r="U75" s="189">
        <f t="shared" si="19"/>
        <v>60.66</v>
      </c>
      <c r="V75" s="189">
        <f t="shared" si="20"/>
        <v>3596.92</v>
      </c>
      <c r="W75" s="11">
        <f>SUM(P75:V75)</f>
        <v>3743.9700000000003</v>
      </c>
      <c r="X75" s="189">
        <f>L75</f>
        <v>101.83</v>
      </c>
      <c r="Y75" s="12">
        <f>X75</f>
        <v>101.83</v>
      </c>
      <c r="Z75" s="189">
        <f>N75</f>
        <v>41.12</v>
      </c>
      <c r="AA75" s="194"/>
    </row>
    <row r="76" spans="2:34">
      <c r="B76" s="13"/>
      <c r="C76" s="3"/>
      <c r="D76" s="188"/>
      <c r="E76" s="3"/>
      <c r="F76" s="3"/>
      <c r="G76" s="3"/>
      <c r="H76" s="3"/>
      <c r="I76" s="3"/>
      <c r="J76" s="3"/>
      <c r="K76" s="3"/>
      <c r="L76" s="3"/>
      <c r="M76" s="3"/>
      <c r="N76" s="3"/>
      <c r="Q76" s="3"/>
      <c r="R76" s="3"/>
      <c r="S76" s="3"/>
      <c r="T76" s="3"/>
      <c r="U76" s="3"/>
      <c r="V76" s="3"/>
      <c r="W76" s="17"/>
      <c r="X76" s="3"/>
      <c r="Y76" s="3"/>
      <c r="Z76" s="3"/>
      <c r="AA76" s="194"/>
    </row>
    <row r="77" spans="2:34">
      <c r="B77" s="219" t="s">
        <v>164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Q77" s="189"/>
      <c r="R77" s="189"/>
      <c r="S77" s="189"/>
      <c r="T77" s="189"/>
      <c r="U77" s="189"/>
      <c r="V77" s="189"/>
      <c r="W77" s="17"/>
      <c r="X77" s="189"/>
      <c r="Y77" s="189"/>
      <c r="Z77" s="189"/>
      <c r="AA77" s="194"/>
    </row>
    <row r="78" spans="2:34">
      <c r="B78" s="13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Q78" s="189"/>
      <c r="R78" s="189"/>
      <c r="S78" s="189"/>
      <c r="T78" s="189"/>
      <c r="U78" s="189"/>
      <c r="V78" s="189"/>
      <c r="W78" s="11"/>
      <c r="X78" s="189"/>
      <c r="Y78" s="12"/>
      <c r="Z78" s="189"/>
      <c r="AA78" s="194"/>
    </row>
    <row r="79" spans="2:34">
      <c r="B79" s="14" t="s">
        <v>161</v>
      </c>
      <c r="C79" s="189"/>
      <c r="D79" s="189">
        <v>17.920000000000002</v>
      </c>
      <c r="E79" s="189"/>
      <c r="F79" s="189">
        <f>2032.54+71.99</f>
        <v>2104.5299999999997</v>
      </c>
      <c r="G79" s="189"/>
      <c r="H79" s="189"/>
      <c r="I79" s="189"/>
      <c r="J79" s="189"/>
      <c r="K79" s="189"/>
      <c r="L79" s="189">
        <f>1139.95</f>
        <v>1139.95</v>
      </c>
      <c r="M79" s="189"/>
      <c r="N79" s="189">
        <v>16.96</v>
      </c>
      <c r="P79" s="189">
        <f>D79</f>
        <v>17.920000000000002</v>
      </c>
      <c r="Q79" s="189">
        <f t="shared" ref="Q79:Q80" si="21">E79</f>
        <v>0</v>
      </c>
      <c r="R79" s="189">
        <f t="shared" ref="R79:R80" si="22">F79</f>
        <v>2104.5299999999997</v>
      </c>
      <c r="S79" s="189">
        <f t="shared" ref="S79:S80" si="23">G79</f>
        <v>0</v>
      </c>
      <c r="T79" s="189">
        <f t="shared" ref="T79:T80" si="24">H79</f>
        <v>0</v>
      </c>
      <c r="U79" s="189">
        <f t="shared" ref="U79:U80" si="25">I79</f>
        <v>0</v>
      </c>
      <c r="V79" s="189">
        <f t="shared" ref="V79:V80" si="26">J79</f>
        <v>0</v>
      </c>
      <c r="W79" s="11">
        <f>SUM(P79:V79)</f>
        <v>2122.4499999999998</v>
      </c>
      <c r="X79" s="189">
        <f>L79</f>
        <v>1139.95</v>
      </c>
      <c r="Y79" s="12">
        <f>X79</f>
        <v>1139.95</v>
      </c>
      <c r="Z79" s="189">
        <v>16.41</v>
      </c>
      <c r="AA79" s="194"/>
    </row>
    <row r="80" spans="2:34">
      <c r="B80" s="14" t="s">
        <v>19</v>
      </c>
      <c r="C80" s="189"/>
      <c r="D80" s="189"/>
      <c r="E80" s="189"/>
      <c r="F80" s="189"/>
      <c r="G80" s="189"/>
      <c r="H80" s="189"/>
      <c r="I80" s="189">
        <v>60.66</v>
      </c>
      <c r="J80" s="189">
        <f>3283.54+426.95</f>
        <v>3710.49</v>
      </c>
      <c r="K80" s="189"/>
      <c r="L80" s="189">
        <f>77.56</f>
        <v>77.56</v>
      </c>
      <c r="M80" s="189"/>
      <c r="N80" s="189">
        <v>42.56</v>
      </c>
      <c r="P80" s="189">
        <f>D80</f>
        <v>0</v>
      </c>
      <c r="Q80" s="189">
        <f t="shared" si="21"/>
        <v>0</v>
      </c>
      <c r="R80" s="189">
        <f t="shared" si="22"/>
        <v>0</v>
      </c>
      <c r="S80" s="189">
        <f t="shared" si="23"/>
        <v>0</v>
      </c>
      <c r="T80" s="189">
        <f t="shared" si="24"/>
        <v>0</v>
      </c>
      <c r="U80" s="189">
        <f t="shared" si="25"/>
        <v>60.66</v>
      </c>
      <c r="V80" s="189">
        <f t="shared" si="26"/>
        <v>3710.49</v>
      </c>
      <c r="W80" s="11">
        <f>SUM(P80:V80)</f>
        <v>3771.1499999999996</v>
      </c>
      <c r="X80" s="189">
        <f>L80</f>
        <v>77.56</v>
      </c>
      <c r="Y80" s="12">
        <f>X80</f>
        <v>77.56</v>
      </c>
      <c r="Z80" s="189">
        <f>N80</f>
        <v>42.56</v>
      </c>
      <c r="AA80" s="194"/>
    </row>
    <row r="81" spans="2:27">
      <c r="B81" s="1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Q81" s="223"/>
      <c r="R81" s="223"/>
      <c r="S81" s="223"/>
      <c r="T81" s="223"/>
      <c r="U81" s="223"/>
      <c r="V81" s="223"/>
      <c r="W81" s="226"/>
      <c r="X81" s="223"/>
      <c r="Y81" s="223"/>
      <c r="Z81" s="223"/>
      <c r="AA81" s="194"/>
    </row>
    <row r="82" spans="2:27">
      <c r="B82" s="220" t="s">
        <v>168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">
        <f t="shared" ref="P82:V82" si="27">SUM(P68:P81)</f>
        <v>161.31</v>
      </c>
      <c r="Q82" s="11">
        <f t="shared" si="27"/>
        <v>0</v>
      </c>
      <c r="R82" s="11">
        <f t="shared" si="27"/>
        <v>5909.66</v>
      </c>
      <c r="S82" s="11">
        <f t="shared" si="27"/>
        <v>607.21</v>
      </c>
      <c r="T82" s="11">
        <f t="shared" si="27"/>
        <v>82.56</v>
      </c>
      <c r="U82" s="11">
        <f t="shared" si="27"/>
        <v>121.32</v>
      </c>
      <c r="V82" s="11">
        <f t="shared" si="27"/>
        <v>11423.56</v>
      </c>
      <c r="W82" s="11">
        <f>SUM(W68:W81)</f>
        <v>18305.620000000003</v>
      </c>
      <c r="X82" s="11">
        <f t="shared" ref="X82:Z82" si="28">SUM(X68:X81)</f>
        <v>3673.3399999999997</v>
      </c>
      <c r="Y82" s="11">
        <f t="shared" si="28"/>
        <v>3673.3399999999997</v>
      </c>
      <c r="Z82" s="11">
        <f t="shared" si="28"/>
        <v>184.71</v>
      </c>
      <c r="AA82" s="194"/>
    </row>
    <row r="83" spans="2:27">
      <c r="W83" s="18"/>
    </row>
    <row r="85" spans="2:27" s="225" customFormat="1">
      <c r="B85" s="11" t="s">
        <v>165</v>
      </c>
    </row>
    <row r="86" spans="2:27" s="225" customFormat="1">
      <c r="B86" s="224"/>
    </row>
    <row r="87" spans="2:27">
      <c r="B87" s="14" t="s">
        <v>166</v>
      </c>
      <c r="C87" s="189"/>
      <c r="D87" s="189"/>
      <c r="E87" s="189"/>
      <c r="F87" s="189"/>
      <c r="G87" s="189"/>
      <c r="H87" s="189"/>
      <c r="I87" s="189"/>
      <c r="J87" s="189">
        <f>254.19</f>
        <v>254.19</v>
      </c>
      <c r="K87" s="189"/>
      <c r="L87" s="189">
        <f>92.55+28.16</f>
        <v>120.71</v>
      </c>
      <c r="M87" s="189"/>
      <c r="N87" s="189">
        <v>2.58</v>
      </c>
      <c r="P87" s="189">
        <f>D87</f>
        <v>0</v>
      </c>
      <c r="Q87" s="189">
        <f t="shared" ref="Q87" si="29">E87</f>
        <v>0</v>
      </c>
      <c r="R87" s="189">
        <f t="shared" ref="R87" si="30">F87</f>
        <v>0</v>
      </c>
      <c r="S87" s="189">
        <f t="shared" ref="S87" si="31">G87</f>
        <v>0</v>
      </c>
      <c r="T87" s="189">
        <f t="shared" ref="T87" si="32">H87</f>
        <v>0</v>
      </c>
      <c r="U87" s="189">
        <f t="shared" ref="U87" si="33">I87</f>
        <v>0</v>
      </c>
      <c r="V87" s="189">
        <f t="shared" ref="V87" si="34">J87</f>
        <v>254.19</v>
      </c>
      <c r="W87" s="11">
        <f>SUM(P87:V87)</f>
        <v>254.19</v>
      </c>
      <c r="X87" s="189">
        <f>L87</f>
        <v>120.71</v>
      </c>
      <c r="Y87" s="12">
        <f>X87</f>
        <v>120.71</v>
      </c>
      <c r="Z87" s="189">
        <f>N87</f>
        <v>2.58</v>
      </c>
      <c r="AA87" s="194"/>
    </row>
    <row r="88" spans="2:27" s="225" customFormat="1">
      <c r="B88" s="224"/>
    </row>
    <row r="89" spans="2:27" ht="47.25" customHeight="1">
      <c r="B89" s="4"/>
      <c r="C89" s="244" t="s">
        <v>3</v>
      </c>
      <c r="D89" s="5" t="s">
        <v>152</v>
      </c>
      <c r="E89" s="5" t="s">
        <v>142</v>
      </c>
      <c r="F89" s="5" t="s">
        <v>143</v>
      </c>
      <c r="G89" s="5" t="s">
        <v>144</v>
      </c>
      <c r="H89" s="5" t="s">
        <v>141</v>
      </c>
      <c r="I89" s="5" t="s">
        <v>145</v>
      </c>
      <c r="J89" s="5" t="s">
        <v>146</v>
      </c>
      <c r="K89" s="6" t="s">
        <v>147</v>
      </c>
      <c r="L89" s="5" t="s">
        <v>4</v>
      </c>
      <c r="M89" s="7" t="s">
        <v>5</v>
      </c>
      <c r="N89" s="8" t="s">
        <v>6</v>
      </c>
      <c r="O89" s="8"/>
      <c r="P89" s="5" t="s">
        <v>152</v>
      </c>
      <c r="Q89" s="5" t="s">
        <v>142</v>
      </c>
      <c r="R89" s="5" t="s">
        <v>143</v>
      </c>
      <c r="S89" s="5" t="s">
        <v>144</v>
      </c>
      <c r="T89" s="5" t="s">
        <v>141</v>
      </c>
      <c r="U89" s="5" t="s">
        <v>145</v>
      </c>
      <c r="V89" s="5" t="s">
        <v>146</v>
      </c>
      <c r="W89" s="6" t="s">
        <v>147</v>
      </c>
      <c r="X89" s="5" t="s">
        <v>149</v>
      </c>
      <c r="Y89" s="6" t="s">
        <v>147</v>
      </c>
      <c r="Z89" s="8" t="s">
        <v>6</v>
      </c>
      <c r="AA89" s="8" t="s">
        <v>150</v>
      </c>
    </row>
    <row r="90" spans="2:27">
      <c r="B90" s="13" t="s">
        <v>24</v>
      </c>
      <c r="C90" s="3"/>
      <c r="D90" s="188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27">
      <c r="B91" s="219" t="s">
        <v>156</v>
      </c>
      <c r="C91" s="3"/>
      <c r="D91" s="188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27">
      <c r="B92" s="13" t="s">
        <v>194</v>
      </c>
      <c r="C92" s="3"/>
      <c r="D92" s="188"/>
      <c r="E92" s="3"/>
      <c r="F92" s="3"/>
      <c r="G92" s="3"/>
      <c r="H92" s="3"/>
      <c r="I92" s="189">
        <f>171.71/2</f>
        <v>85.855000000000004</v>
      </c>
      <c r="J92" s="189"/>
      <c r="K92" s="189"/>
      <c r="L92" s="189">
        <f>8.06/2</f>
        <v>4.03</v>
      </c>
      <c r="M92" s="189"/>
      <c r="N92" s="189">
        <f>4.19/2</f>
        <v>2.0950000000000002</v>
      </c>
      <c r="P92" s="189">
        <f>D92</f>
        <v>0</v>
      </c>
      <c r="Q92" s="189">
        <f t="shared" ref="Q92" si="35">E92</f>
        <v>0</v>
      </c>
      <c r="R92" s="189">
        <f t="shared" ref="R92" si="36">F92</f>
        <v>0</v>
      </c>
      <c r="S92" s="189">
        <f t="shared" ref="S92" si="37">G92</f>
        <v>0</v>
      </c>
      <c r="T92" s="189">
        <f t="shared" ref="T92" si="38">H92</f>
        <v>0</v>
      </c>
      <c r="U92" s="189">
        <f t="shared" ref="U92" si="39">I92</f>
        <v>85.855000000000004</v>
      </c>
      <c r="V92" s="189">
        <f t="shared" ref="V92" si="40">J92</f>
        <v>0</v>
      </c>
      <c r="W92" s="11">
        <f>SUM(P92:V92)</f>
        <v>85.855000000000004</v>
      </c>
      <c r="X92" s="189">
        <f>L92</f>
        <v>4.03</v>
      </c>
      <c r="Y92" s="12">
        <f>X92</f>
        <v>4.03</v>
      </c>
      <c r="Z92" s="189">
        <f>N92</f>
        <v>2.0950000000000002</v>
      </c>
      <c r="AA92" s="194"/>
    </row>
    <row r="94" spans="2:27">
      <c r="B94" s="219" t="s">
        <v>158</v>
      </c>
    </row>
    <row r="95" spans="2:27">
      <c r="B95" s="13" t="s">
        <v>195</v>
      </c>
      <c r="C95" s="189"/>
      <c r="D95" s="189"/>
      <c r="E95" s="189"/>
      <c r="F95" s="189"/>
      <c r="G95" s="189"/>
      <c r="H95" s="189"/>
      <c r="I95" s="189">
        <f>171.71/2</f>
        <v>85.855000000000004</v>
      </c>
      <c r="J95" s="189"/>
      <c r="K95" s="189"/>
      <c r="L95" s="189">
        <f>8.06/2</f>
        <v>4.03</v>
      </c>
      <c r="M95" s="189"/>
      <c r="N95" s="189">
        <f>4.19/2</f>
        <v>2.0950000000000002</v>
      </c>
      <c r="P95" s="189">
        <f>D95</f>
        <v>0</v>
      </c>
      <c r="Q95" s="189">
        <f t="shared" ref="Q95" si="41">E95</f>
        <v>0</v>
      </c>
      <c r="R95" s="189">
        <f t="shared" ref="R95" si="42">F95</f>
        <v>0</v>
      </c>
      <c r="S95" s="189">
        <f t="shared" ref="S95" si="43">G95</f>
        <v>0</v>
      </c>
      <c r="T95" s="189">
        <f t="shared" ref="T95" si="44">H95</f>
        <v>0</v>
      </c>
      <c r="U95" s="189">
        <f t="shared" ref="U95" si="45">I95</f>
        <v>85.855000000000004</v>
      </c>
      <c r="V95" s="189">
        <f t="shared" ref="V95" si="46">J95</f>
        <v>0</v>
      </c>
      <c r="W95" s="11">
        <f>SUM(P95:V95)</f>
        <v>85.855000000000004</v>
      </c>
      <c r="X95" s="189">
        <f>L95</f>
        <v>4.03</v>
      </c>
      <c r="Y95" s="12">
        <f>X95</f>
        <v>4.03</v>
      </c>
      <c r="Z95" s="189">
        <f>N95</f>
        <v>2.0950000000000002</v>
      </c>
      <c r="AA95" s="194"/>
    </row>
    <row r="96" spans="2:27" ht="16" thickBot="1">
      <c r="B96" s="202"/>
      <c r="C96" s="203"/>
      <c r="D96" s="203"/>
      <c r="E96" s="203"/>
      <c r="F96" s="203"/>
      <c r="G96" s="203"/>
      <c r="H96" s="203"/>
      <c r="I96" s="203"/>
      <c r="J96" s="203"/>
    </row>
    <row r="97" spans="1:31">
      <c r="B97" s="284"/>
      <c r="C97" s="285"/>
      <c r="D97" s="285"/>
      <c r="E97" s="285"/>
      <c r="F97" s="285"/>
      <c r="G97" s="285"/>
      <c r="H97" s="285"/>
      <c r="I97" s="285"/>
      <c r="J97" s="285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7"/>
    </row>
    <row r="98" spans="1:31">
      <c r="B98" s="288" t="s">
        <v>167</v>
      </c>
      <c r="C98" s="208"/>
      <c r="D98" s="208"/>
      <c r="E98" s="208"/>
      <c r="F98" s="208"/>
      <c r="G98" s="208"/>
      <c r="H98" s="208"/>
      <c r="I98" s="208"/>
      <c r="J98" s="208"/>
      <c r="K98" s="244"/>
      <c r="L98" s="244"/>
      <c r="M98" s="244"/>
      <c r="N98" s="244"/>
      <c r="O98" s="244"/>
      <c r="P98" s="244">
        <f t="shared" ref="P98:V98" si="47">P92+P87+P82+P61+P29</f>
        <v>4397.6899999999996</v>
      </c>
      <c r="Q98" s="244">
        <f t="shared" si="47"/>
        <v>0</v>
      </c>
      <c r="R98" s="244">
        <f t="shared" si="47"/>
        <v>7459.16</v>
      </c>
      <c r="S98" s="244">
        <f t="shared" si="47"/>
        <v>607.21</v>
      </c>
      <c r="T98" s="244">
        <f t="shared" si="47"/>
        <v>11651.300000000001</v>
      </c>
      <c r="U98" s="244">
        <f t="shared" si="47"/>
        <v>5894.2549999999992</v>
      </c>
      <c r="V98" s="244">
        <f t="shared" si="47"/>
        <v>11677.75</v>
      </c>
      <c r="W98" s="11">
        <f>W92+W87+W82+W61+W29</f>
        <v>41687.364999999998</v>
      </c>
      <c r="X98" s="244">
        <f t="shared" ref="X98:AE98" si="48">X92+X87+X82+X61+X29</f>
        <v>5846.58</v>
      </c>
      <c r="Y98" s="12">
        <f t="shared" si="48"/>
        <v>5846.58</v>
      </c>
      <c r="Z98" s="17">
        <f t="shared" si="48"/>
        <v>264.375</v>
      </c>
      <c r="AA98" s="17">
        <f t="shared" si="48"/>
        <v>156.298</v>
      </c>
      <c r="AB98" s="244"/>
      <c r="AC98" s="244"/>
      <c r="AD98" s="17">
        <f t="shared" si="48"/>
        <v>34.200000000000003</v>
      </c>
      <c r="AE98" s="289">
        <f t="shared" si="48"/>
        <v>69.51400000000001</v>
      </c>
    </row>
    <row r="99" spans="1:31" ht="16" thickBot="1">
      <c r="B99" s="290"/>
      <c r="C99" s="291"/>
      <c r="D99" s="291"/>
      <c r="E99" s="291"/>
      <c r="F99" s="291"/>
      <c r="G99" s="291"/>
      <c r="H99" s="291"/>
      <c r="I99" s="291"/>
      <c r="J99" s="291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292"/>
    </row>
    <row r="100" spans="1:31" ht="16" thickBot="1">
      <c r="B100" s="290"/>
      <c r="C100" s="291"/>
      <c r="D100" s="291"/>
      <c r="E100" s="291"/>
      <c r="F100" s="291"/>
      <c r="G100" s="291"/>
      <c r="H100" s="291"/>
      <c r="I100" s="291"/>
      <c r="J100" s="291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297">
        <f>(W98+Y98)/1000</f>
        <v>47.533945000000003</v>
      </c>
      <c r="X100" s="194"/>
      <c r="Y100" s="194"/>
      <c r="Z100" s="194"/>
      <c r="AA100" s="194"/>
      <c r="AB100" s="194"/>
      <c r="AC100" s="194"/>
      <c r="AD100" s="194"/>
      <c r="AE100" s="292"/>
    </row>
    <row r="101" spans="1:31" ht="16" thickBo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6"/>
    </row>
    <row r="102" spans="1:31">
      <c r="B102" s="202"/>
      <c r="C102" s="203"/>
      <c r="D102" s="203"/>
      <c r="E102" s="203"/>
      <c r="F102" s="203"/>
      <c r="G102" s="203"/>
      <c r="H102" s="203"/>
      <c r="I102" s="203"/>
      <c r="J102" s="203"/>
    </row>
    <row r="103" spans="1:31">
      <c r="B103" s="202"/>
      <c r="C103" s="203"/>
      <c r="D103" s="203"/>
      <c r="E103" s="203"/>
      <c r="F103" s="203"/>
      <c r="G103" s="203"/>
      <c r="H103" s="203"/>
      <c r="I103" s="203"/>
      <c r="J103" s="203"/>
    </row>
    <row r="104" spans="1:31">
      <c r="B104" s="202" t="s">
        <v>322</v>
      </c>
      <c r="C104" s="203" t="s">
        <v>22</v>
      </c>
      <c r="D104" s="203">
        <v>1.85</v>
      </c>
      <c r="E104" s="203">
        <v>0.85</v>
      </c>
      <c r="F104" s="203">
        <v>0.2</v>
      </c>
      <c r="G104" s="203">
        <v>0.5</v>
      </c>
      <c r="H104" s="203"/>
      <c r="I104" s="203">
        <f>(1.85+0.49)*2*0.18*0.5</f>
        <v>0.42119999999999996</v>
      </c>
      <c r="J104" s="203">
        <v>2</v>
      </c>
      <c r="K104" s="342">
        <f>I104*J104</f>
        <v>0.84239999999999993</v>
      </c>
    </row>
    <row r="105" spans="1:31">
      <c r="B105" s="202"/>
      <c r="C105" s="203" t="s">
        <v>22</v>
      </c>
      <c r="D105" s="203"/>
      <c r="E105" s="203"/>
      <c r="F105" s="203"/>
      <c r="G105" s="203"/>
      <c r="H105" s="203"/>
      <c r="I105" s="203">
        <f>1.85*0.85*0.16</f>
        <v>0.25159999999999999</v>
      </c>
      <c r="J105" s="203">
        <v>2</v>
      </c>
      <c r="K105" s="342">
        <f>I105*J105</f>
        <v>0.50319999999999998</v>
      </c>
    </row>
    <row r="106" spans="1:31">
      <c r="B106" s="202"/>
      <c r="C106" s="203"/>
      <c r="D106" s="203"/>
      <c r="E106" s="203"/>
      <c r="F106" s="203"/>
      <c r="G106" s="203"/>
      <c r="H106" s="203"/>
      <c r="I106" s="203"/>
      <c r="J106" s="203"/>
    </row>
    <row r="107" spans="1:31">
      <c r="B107" s="202" t="s">
        <v>323</v>
      </c>
      <c r="C107" s="203" t="s">
        <v>22</v>
      </c>
      <c r="D107" s="203"/>
      <c r="E107" s="203">
        <v>0.49</v>
      </c>
      <c r="F107" s="203">
        <v>1.49</v>
      </c>
      <c r="G107" s="203">
        <v>0.5</v>
      </c>
      <c r="H107" s="203"/>
      <c r="I107" s="203">
        <f>E107*F107*G107</f>
        <v>0.36504999999999999</v>
      </c>
      <c r="J107" s="203">
        <v>2</v>
      </c>
      <c r="K107" s="2">
        <f>J107*I107</f>
        <v>0.73009999999999997</v>
      </c>
    </row>
    <row r="108" spans="1:31">
      <c r="B108" s="202"/>
      <c r="C108" s="203"/>
      <c r="D108" s="203"/>
      <c r="E108" s="203"/>
      <c r="F108" s="203"/>
      <c r="G108" s="203"/>
      <c r="H108" s="203"/>
      <c r="I108" s="203"/>
      <c r="J108" s="203"/>
    </row>
    <row r="109" spans="1:31">
      <c r="B109" s="202"/>
      <c r="C109" s="203"/>
      <c r="D109" s="203"/>
      <c r="E109" s="203"/>
      <c r="F109" s="203"/>
      <c r="G109" s="203"/>
      <c r="H109" s="203"/>
      <c r="I109" s="203"/>
      <c r="J109" s="203"/>
    </row>
    <row r="110" spans="1:31">
      <c r="B110" s="202"/>
      <c r="C110" s="203"/>
      <c r="D110" s="203"/>
      <c r="E110" s="203"/>
      <c r="F110" s="203"/>
      <c r="G110" s="203"/>
      <c r="H110" s="203"/>
      <c r="I110" s="203"/>
      <c r="J110" s="203"/>
    </row>
    <row r="111" spans="1:31">
      <c r="A111" s="201"/>
      <c r="B111" s="202" t="s">
        <v>111</v>
      </c>
      <c r="C111" s="203"/>
      <c r="D111" s="203"/>
      <c r="E111" s="203"/>
      <c r="F111" s="203"/>
      <c r="G111" s="203"/>
      <c r="H111" s="203"/>
      <c r="I111" s="203"/>
      <c r="J111" s="203"/>
      <c r="K111" s="201"/>
    </row>
    <row r="112" spans="1:31">
      <c r="A112" s="201"/>
      <c r="B112" s="202" t="s">
        <v>137</v>
      </c>
      <c r="C112" s="203" t="s">
        <v>22</v>
      </c>
      <c r="D112" s="203"/>
      <c r="E112" s="203"/>
      <c r="F112" s="203">
        <v>560</v>
      </c>
      <c r="G112" s="204"/>
      <c r="H112" s="203"/>
      <c r="I112" s="203"/>
      <c r="J112" s="203"/>
      <c r="K112" s="201"/>
    </row>
    <row r="113" spans="1:11">
      <c r="A113" s="201"/>
      <c r="B113" s="202"/>
      <c r="C113" s="203"/>
      <c r="D113" s="203"/>
      <c r="E113" s="203"/>
      <c r="F113" s="203"/>
      <c r="G113" s="205"/>
      <c r="H113" s="203"/>
      <c r="I113" s="203"/>
      <c r="J113" s="203"/>
      <c r="K113" s="201"/>
    </row>
    <row r="114" spans="1:11">
      <c r="A114" s="201"/>
      <c r="B114" s="202"/>
      <c r="C114" s="203"/>
      <c r="D114" s="203"/>
      <c r="E114" s="203"/>
      <c r="F114" s="206"/>
      <c r="G114" s="203"/>
      <c r="H114" s="203"/>
      <c r="I114" s="206"/>
      <c r="J114" s="203"/>
      <c r="K114" s="201"/>
    </row>
    <row r="115" spans="1:11">
      <c r="A115" s="201"/>
      <c r="B115" s="202"/>
      <c r="C115" s="203"/>
      <c r="D115" s="203"/>
      <c r="E115" s="203"/>
      <c r="F115" s="206"/>
      <c r="G115" s="203"/>
      <c r="H115" s="203"/>
      <c r="I115" s="206"/>
      <c r="J115" s="203"/>
      <c r="K115" s="201"/>
    </row>
    <row r="116" spans="1:11">
      <c r="A116" s="201"/>
      <c r="B116" s="202"/>
      <c r="C116" s="203"/>
      <c r="D116" s="203"/>
      <c r="E116" s="203"/>
      <c r="F116" s="206"/>
      <c r="G116" s="203"/>
      <c r="H116" s="203"/>
      <c r="I116" s="206">
        <v>3.27</v>
      </c>
      <c r="J116" s="203"/>
      <c r="K116" s="201"/>
    </row>
    <row r="117" spans="1:11">
      <c r="A117" s="201"/>
      <c r="B117" s="202"/>
      <c r="C117" s="203"/>
      <c r="D117" s="203"/>
      <c r="E117" s="203"/>
      <c r="F117" s="206"/>
      <c r="G117" s="203"/>
      <c r="H117" s="203"/>
      <c r="I117" s="206">
        <v>2.17</v>
      </c>
      <c r="J117" s="203"/>
      <c r="K117" s="201"/>
    </row>
    <row r="118" spans="1:11">
      <c r="A118" s="201"/>
      <c r="B118" s="202"/>
      <c r="C118" s="203"/>
      <c r="D118" s="203"/>
      <c r="E118" s="203"/>
      <c r="F118" s="206"/>
      <c r="G118" s="203"/>
      <c r="H118" s="203"/>
      <c r="I118" s="206">
        <v>0</v>
      </c>
      <c r="J118" s="203"/>
      <c r="K118" s="201"/>
    </row>
    <row r="119" spans="1:11">
      <c r="A119" s="201"/>
      <c r="B119" s="202"/>
      <c r="C119" s="203"/>
      <c r="D119" s="203"/>
      <c r="E119" s="203"/>
      <c r="F119" s="206"/>
      <c r="G119" s="203"/>
      <c r="H119" s="203"/>
      <c r="I119" s="206">
        <v>0</v>
      </c>
      <c r="J119" s="203"/>
      <c r="K119" s="201"/>
    </row>
    <row r="120" spans="1:11">
      <c r="A120" s="201"/>
      <c r="B120" s="202"/>
      <c r="C120" s="203"/>
      <c r="D120" s="203"/>
      <c r="E120" s="203"/>
      <c r="F120" s="206"/>
      <c r="G120" s="203"/>
      <c r="H120" s="203"/>
      <c r="I120" s="206"/>
      <c r="J120" s="203"/>
      <c r="K120" s="201"/>
    </row>
    <row r="121" spans="1:11">
      <c r="A121" s="201"/>
      <c r="B121" s="207" t="s">
        <v>112</v>
      </c>
      <c r="C121" s="208"/>
      <c r="D121" s="208"/>
      <c r="E121" s="208"/>
      <c r="F121" s="208"/>
      <c r="G121" s="208"/>
      <c r="H121" s="208"/>
      <c r="I121" s="209">
        <f>SUM(I114:I120)/4</f>
        <v>1.3599999999999999</v>
      </c>
      <c r="J121" s="203"/>
      <c r="K121" s="201"/>
    </row>
    <row r="122" spans="1:11">
      <c r="A122" s="201"/>
      <c r="B122" s="207" t="s">
        <v>138</v>
      </c>
      <c r="C122" s="208"/>
      <c r="D122" s="208"/>
      <c r="E122" s="208"/>
      <c r="F122" s="208"/>
      <c r="G122" s="208"/>
      <c r="H122" s="208"/>
      <c r="I122" s="209">
        <f>(23.5+0.6+0.2)*2+(12.65+0.6*2+0.2*2)</f>
        <v>62.85</v>
      </c>
      <c r="J122" s="203"/>
      <c r="K122" s="201"/>
    </row>
    <row r="123" spans="1:11">
      <c r="A123" s="201"/>
      <c r="B123" s="207"/>
      <c r="C123" s="208"/>
      <c r="D123" s="208"/>
      <c r="E123" s="208"/>
      <c r="F123" s="208"/>
      <c r="G123" s="208"/>
      <c r="H123" s="208"/>
      <c r="I123" s="208">
        <v>0.4</v>
      </c>
      <c r="J123" s="203"/>
      <c r="K123" s="201"/>
    </row>
    <row r="124" spans="1:11">
      <c r="A124" s="201"/>
      <c r="B124" s="207" t="s">
        <v>139</v>
      </c>
      <c r="C124" s="208"/>
      <c r="D124" s="208"/>
      <c r="E124" s="208"/>
      <c r="F124" s="208"/>
      <c r="G124" s="208"/>
      <c r="H124" s="208"/>
      <c r="I124" s="210">
        <f>I121*I122*I123</f>
        <v>34.190400000000004</v>
      </c>
      <c r="J124" s="203"/>
      <c r="K124" s="201"/>
    </row>
    <row r="125" spans="1:11">
      <c r="A125" s="201"/>
      <c r="B125" s="211" t="s">
        <v>140</v>
      </c>
      <c r="C125" s="203"/>
      <c r="D125" s="203"/>
      <c r="E125" s="203"/>
      <c r="F125" s="203"/>
      <c r="G125" s="203"/>
      <c r="H125" s="203"/>
      <c r="I125" s="212">
        <f>I122*I121*I121/2/2</f>
        <v>29.061839999999997</v>
      </c>
      <c r="J125" s="203"/>
      <c r="K125" s="201"/>
    </row>
    <row r="126" spans="1:11">
      <c r="A126" s="201"/>
      <c r="B126" s="213" t="s">
        <v>1</v>
      </c>
      <c r="C126" s="214"/>
      <c r="D126" s="214"/>
      <c r="E126" s="214"/>
      <c r="F126" s="214"/>
      <c r="G126" s="214"/>
      <c r="H126" s="214"/>
      <c r="I126" s="215">
        <f>I125+I124</f>
        <v>63.25224</v>
      </c>
      <c r="J126" s="203"/>
      <c r="K126" s="201"/>
    </row>
    <row r="127" spans="1:11">
      <c r="A127" s="201"/>
      <c r="B127" s="216"/>
      <c r="C127" s="203"/>
      <c r="D127" s="203"/>
      <c r="E127" s="203"/>
      <c r="F127" s="203"/>
      <c r="G127" s="203"/>
      <c r="H127" s="203"/>
      <c r="I127" s="212"/>
      <c r="J127" s="203"/>
      <c r="K127" s="201"/>
    </row>
    <row r="128" spans="1:11">
      <c r="A128" s="201"/>
      <c r="B128" s="202"/>
      <c r="C128" s="203"/>
      <c r="D128" s="203"/>
      <c r="E128" s="203" t="s">
        <v>99</v>
      </c>
      <c r="F128" s="203" t="s">
        <v>100</v>
      </c>
      <c r="G128" s="203"/>
      <c r="H128" s="203" t="s">
        <v>116</v>
      </c>
      <c r="I128" s="203" t="s">
        <v>115</v>
      </c>
      <c r="J128" s="203"/>
      <c r="K128" s="201"/>
    </row>
    <row r="129" spans="1:11">
      <c r="A129" s="201"/>
      <c r="B129" s="202" t="s">
        <v>114</v>
      </c>
      <c r="C129" s="203"/>
      <c r="D129" s="203"/>
      <c r="E129" s="208">
        <f>6.7+6.7</f>
        <v>13.4</v>
      </c>
      <c r="F129" s="209">
        <f>2.6+3.95+0.65+3.6+0.45+4.15+2.6</f>
        <v>18</v>
      </c>
      <c r="G129" s="208"/>
      <c r="H129" s="208">
        <f>(E129+F129)*2</f>
        <v>62.8</v>
      </c>
      <c r="I129" s="208">
        <f>H129*I121*1.2</f>
        <v>102.48959999999998</v>
      </c>
      <c r="J129" s="203"/>
      <c r="K129" s="201"/>
    </row>
    <row r="130" spans="1:11">
      <c r="A130" s="201"/>
      <c r="B130" s="202"/>
      <c r="C130" s="203"/>
      <c r="D130" s="203"/>
      <c r="E130" s="203"/>
      <c r="F130" s="203"/>
      <c r="G130" s="203"/>
      <c r="H130" s="203"/>
      <c r="I130" s="203"/>
      <c r="J130" s="203"/>
      <c r="K130" s="201"/>
    </row>
    <row r="131" spans="1:11">
      <c r="A131" s="201"/>
      <c r="B131" s="202"/>
      <c r="C131" s="203"/>
      <c r="D131" s="203"/>
      <c r="E131" s="203"/>
      <c r="F131" s="203"/>
      <c r="G131" s="203"/>
      <c r="H131" s="203"/>
      <c r="I131" s="203"/>
      <c r="J131" s="203"/>
      <c r="K131" s="201"/>
    </row>
    <row r="132" spans="1:11">
      <c r="A132" s="201"/>
      <c r="B132" s="202"/>
      <c r="C132" s="203"/>
      <c r="D132" s="203"/>
      <c r="E132" s="203"/>
      <c r="F132" s="203"/>
      <c r="G132" s="203"/>
      <c r="H132" s="203"/>
      <c r="I132" s="203"/>
      <c r="J132" s="203"/>
      <c r="K132" s="201"/>
    </row>
    <row r="133" spans="1:11">
      <c r="A133" s="201"/>
      <c r="B133" s="202"/>
      <c r="C133" s="203"/>
      <c r="D133" s="203"/>
      <c r="E133" s="203"/>
      <c r="F133" s="203"/>
      <c r="G133" s="203"/>
      <c r="H133" s="203"/>
      <c r="I133" s="203"/>
      <c r="J133" s="203"/>
      <c r="K133" s="201"/>
    </row>
    <row r="134" spans="1:11">
      <c r="B134" s="202"/>
      <c r="C134" s="203"/>
      <c r="D134" s="203"/>
      <c r="E134" s="203"/>
      <c r="F134" s="203"/>
      <c r="G134" s="203"/>
      <c r="H134" s="203"/>
      <c r="I134" s="203"/>
      <c r="J134" s="203"/>
    </row>
  </sheetData>
  <mergeCells count="2">
    <mergeCell ref="G7:N7"/>
    <mergeCell ref="S7:W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AK255"/>
  <sheetViews>
    <sheetView zoomScale="90" zoomScaleNormal="90" workbookViewId="0">
      <selection activeCell="G184" sqref="G184"/>
    </sheetView>
  </sheetViews>
  <sheetFormatPr baseColWidth="10" defaultColWidth="9.1640625" defaultRowHeight="13"/>
  <cols>
    <col min="1" max="1" width="9.1640625" style="250"/>
    <col min="2" max="2" width="44.1640625" style="250" customWidth="1"/>
    <col min="3" max="3" width="14.83203125" style="250" bestFit="1" customWidth="1"/>
    <col min="4" max="4" width="8.6640625" style="250" customWidth="1"/>
    <col min="5" max="5" width="10.5" style="250" customWidth="1"/>
    <col min="6" max="6" width="9.5" style="250" bestFit="1" customWidth="1"/>
    <col min="7" max="7" width="9.1640625" style="250"/>
    <col min="8" max="8" width="9.5" style="250" customWidth="1"/>
    <col min="9" max="9" width="8.6640625" style="250" customWidth="1"/>
    <col min="10" max="10" width="7.33203125" style="250" customWidth="1"/>
    <col min="11" max="11" width="8.5" style="250" customWidth="1"/>
    <col min="12" max="12" width="6.6640625" style="250" customWidth="1"/>
    <col min="13" max="13" width="8.6640625" style="250" customWidth="1"/>
    <col min="14" max="15" width="6.6640625" style="250" customWidth="1"/>
    <col min="16" max="16" width="9.1640625" style="250"/>
    <col min="17" max="28" width="5.5" style="275" customWidth="1"/>
    <col min="29" max="32" width="5.5" style="250" customWidth="1"/>
    <col min="33" max="34" width="4.83203125" style="250" customWidth="1"/>
    <col min="35" max="35" width="5.5" style="250" customWidth="1"/>
    <col min="36" max="37" width="4.83203125" style="250" customWidth="1"/>
    <col min="38" max="16384" width="9.1640625" style="250"/>
  </cols>
  <sheetData>
    <row r="3" spans="1:37" ht="15" customHeight="1">
      <c r="B3" s="251"/>
      <c r="C3" s="251"/>
      <c r="D3" s="251"/>
      <c r="E3" s="252"/>
      <c r="Q3" s="444" t="s">
        <v>284</v>
      </c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6"/>
      <c r="AI3" s="447" t="s">
        <v>282</v>
      </c>
      <c r="AJ3" s="448"/>
      <c r="AK3" s="449"/>
    </row>
    <row r="4" spans="1:37" ht="22.5" customHeight="1">
      <c r="C4" s="253" t="s">
        <v>231</v>
      </c>
      <c r="E4" s="450" t="s">
        <v>249</v>
      </c>
      <c r="F4" s="451"/>
      <c r="G4" s="451"/>
      <c r="H4" s="451"/>
      <c r="I4" s="452"/>
      <c r="J4" s="453" t="s">
        <v>250</v>
      </c>
      <c r="K4" s="453"/>
      <c r="L4" s="453"/>
      <c r="M4" s="453"/>
      <c r="N4" s="453"/>
      <c r="O4" s="276"/>
      <c r="P4" s="277" t="s">
        <v>281</v>
      </c>
      <c r="Q4" s="248" t="s">
        <v>213</v>
      </c>
      <c r="R4" s="248" t="s">
        <v>225</v>
      </c>
      <c r="S4" s="248" t="s">
        <v>266</v>
      </c>
      <c r="T4" s="248" t="s">
        <v>226</v>
      </c>
      <c r="U4" s="248" t="s">
        <v>227</v>
      </c>
      <c r="V4" s="248" t="s">
        <v>217</v>
      </c>
      <c r="W4" s="248" t="s">
        <v>218</v>
      </c>
      <c r="X4" s="248" t="s">
        <v>219</v>
      </c>
      <c r="Y4" s="248" t="s">
        <v>220</v>
      </c>
      <c r="Z4" s="248" t="s">
        <v>221</v>
      </c>
      <c r="AA4" s="248" t="s">
        <v>222</v>
      </c>
      <c r="AB4" s="248" t="s">
        <v>223</v>
      </c>
      <c r="AC4" s="248" t="s">
        <v>224</v>
      </c>
      <c r="AD4" s="248" t="s">
        <v>267</v>
      </c>
      <c r="AE4" s="248" t="s">
        <v>268</v>
      </c>
      <c r="AF4" s="248" t="s">
        <v>269</v>
      </c>
      <c r="AG4" s="248" t="s">
        <v>214</v>
      </c>
      <c r="AH4" s="248" t="s">
        <v>273</v>
      </c>
      <c r="AI4" s="248" t="s">
        <v>128</v>
      </c>
      <c r="AJ4" s="248" t="s">
        <v>215</v>
      </c>
      <c r="AK4" s="248" t="s">
        <v>216</v>
      </c>
    </row>
    <row r="5" spans="1:37" ht="33.75" customHeight="1">
      <c r="D5" s="250">
        <v>30</v>
      </c>
      <c r="E5" s="239" t="s">
        <v>138</v>
      </c>
      <c r="F5" s="239" t="s">
        <v>228</v>
      </c>
      <c r="G5" s="239" t="s">
        <v>231</v>
      </c>
      <c r="H5" s="238" t="s">
        <v>280</v>
      </c>
      <c r="I5" s="239" t="s">
        <v>285</v>
      </c>
      <c r="J5" s="239" t="s">
        <v>138</v>
      </c>
      <c r="K5" s="239" t="s">
        <v>228</v>
      </c>
      <c r="L5" s="239" t="s">
        <v>231</v>
      </c>
      <c r="M5" s="238" t="s">
        <v>280</v>
      </c>
      <c r="N5" s="239" t="s">
        <v>285</v>
      </c>
      <c r="P5" s="274">
        <f>0.9*2.2</f>
        <v>1.9800000000000002</v>
      </c>
      <c r="Q5" s="239">
        <v>7.54</v>
      </c>
      <c r="R5" s="239">
        <v>6.12</v>
      </c>
      <c r="S5" s="239">
        <v>6.12</v>
      </c>
      <c r="T5" s="239">
        <v>2.04</v>
      </c>
      <c r="U5" s="239">
        <v>4.8600000000000003</v>
      </c>
      <c r="V5" s="239">
        <v>3.4</v>
      </c>
      <c r="W5" s="239">
        <v>2.72</v>
      </c>
      <c r="X5" s="239">
        <v>2.04</v>
      </c>
      <c r="Y5" s="239">
        <v>2.7</v>
      </c>
      <c r="Z5" s="239">
        <v>5.4</v>
      </c>
      <c r="AA5" s="239">
        <v>2.16</v>
      </c>
      <c r="AB5" s="239">
        <v>1.62</v>
      </c>
      <c r="AC5" s="239">
        <v>6.75</v>
      </c>
      <c r="AD5" s="239">
        <v>1.38</v>
      </c>
      <c r="AE5" s="239">
        <v>0.76</v>
      </c>
      <c r="AF5" s="239">
        <v>1.32</v>
      </c>
      <c r="AG5" s="239">
        <v>3.4</v>
      </c>
      <c r="AH5" s="239">
        <v>2.7</v>
      </c>
      <c r="AI5" s="239">
        <v>6.12</v>
      </c>
      <c r="AJ5" s="239">
        <v>3.4</v>
      </c>
      <c r="AK5" s="239">
        <v>11.9</v>
      </c>
    </row>
    <row r="6" spans="1:37">
      <c r="P6" s="280">
        <v>1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3"/>
      <c r="AD6" s="273">
        <v>1</v>
      </c>
      <c r="AE6" s="273">
        <v>2</v>
      </c>
      <c r="AF6" s="273"/>
      <c r="AG6" s="273"/>
      <c r="AH6" s="273"/>
      <c r="AI6" s="273"/>
      <c r="AJ6" s="273">
        <v>1</v>
      </c>
      <c r="AK6" s="273">
        <v>2</v>
      </c>
    </row>
    <row r="7" spans="1:37">
      <c r="B7" s="254" t="s">
        <v>238</v>
      </c>
      <c r="E7" s="250">
        <f>5.9+5.95</f>
        <v>11.850000000000001</v>
      </c>
      <c r="F7" s="250">
        <f>3.85-0.05-0.5</f>
        <v>3.3000000000000003</v>
      </c>
      <c r="G7" s="250">
        <f>E7*F7</f>
        <v>39.105000000000011</v>
      </c>
      <c r="H7" s="250">
        <f>SUM(Q7:AK7)</f>
        <v>30.1</v>
      </c>
      <c r="I7" s="273">
        <f>(G7-H7)</f>
        <v>9.0050000000000097</v>
      </c>
      <c r="J7" s="275">
        <f>1.9+0.1+1.5+2.15</f>
        <v>5.65</v>
      </c>
      <c r="K7" s="275">
        <f>3.85-0.05-0.16</f>
        <v>3.64</v>
      </c>
      <c r="L7" s="250">
        <f>J7*K7</f>
        <v>20.566000000000003</v>
      </c>
      <c r="M7" s="250">
        <f>P7</f>
        <v>1.9800000000000002</v>
      </c>
      <c r="N7" s="273">
        <f>(L7-M7)</f>
        <v>18.586000000000002</v>
      </c>
      <c r="P7" s="250">
        <f>P6*P5</f>
        <v>1.9800000000000002</v>
      </c>
      <c r="Q7" s="250"/>
      <c r="R7" s="250"/>
      <c r="S7" s="250"/>
      <c r="T7" s="250"/>
      <c r="U7" s="250"/>
      <c r="AD7" s="250">
        <f>AD5*AD6</f>
        <v>1.38</v>
      </c>
      <c r="AE7" s="250">
        <f t="shared" ref="AE7:AK7" si="0">AE5*AE6</f>
        <v>1.52</v>
      </c>
      <c r="AJ7" s="250">
        <f t="shared" si="0"/>
        <v>3.4</v>
      </c>
      <c r="AK7" s="250">
        <f t="shared" si="0"/>
        <v>23.8</v>
      </c>
    </row>
    <row r="8" spans="1:37">
      <c r="B8" s="254"/>
      <c r="Q8" s="250"/>
      <c r="R8" s="250"/>
      <c r="S8" s="250"/>
      <c r="T8" s="250"/>
      <c r="U8" s="250"/>
    </row>
    <row r="10" spans="1:37">
      <c r="P10" s="280">
        <v>4</v>
      </c>
      <c r="Q10" s="279"/>
      <c r="R10" s="279">
        <v>1</v>
      </c>
      <c r="S10" s="279">
        <v>1</v>
      </c>
      <c r="T10" s="279">
        <v>1</v>
      </c>
      <c r="U10" s="279"/>
      <c r="V10" s="279">
        <v>3</v>
      </c>
      <c r="W10" s="279">
        <v>1</v>
      </c>
      <c r="X10" s="279">
        <v>1</v>
      </c>
      <c r="Y10" s="279"/>
      <c r="Z10" s="279"/>
      <c r="AA10" s="279"/>
      <c r="AB10" s="279"/>
      <c r="AC10" s="273"/>
      <c r="AD10" s="273"/>
      <c r="AE10" s="273"/>
      <c r="AF10" s="273"/>
      <c r="AG10" s="273">
        <v>1</v>
      </c>
      <c r="AH10" s="273"/>
      <c r="AI10" s="273">
        <v>1</v>
      </c>
      <c r="AJ10" s="273"/>
      <c r="AK10" s="273"/>
    </row>
    <row r="11" spans="1:37">
      <c r="B11" s="254" t="s">
        <v>240</v>
      </c>
      <c r="E11" s="250">
        <f>3.6+5.6+5.5+5.9+5.95+5.6+5.6+3.6+2+6.35+2+5.9</f>
        <v>57.6</v>
      </c>
      <c r="F11" s="250">
        <f>3.8-0-0.5</f>
        <v>3.3</v>
      </c>
      <c r="G11" s="250">
        <f>E11*F11</f>
        <v>190.07999999999998</v>
      </c>
      <c r="H11" s="250">
        <f>SUM(Q11:AK11)</f>
        <v>38.76</v>
      </c>
      <c r="I11" s="273">
        <f>(G11-H11)</f>
        <v>151.32</v>
      </c>
      <c r="J11" s="250">
        <f>3.6+2.71+0.1+(1.79-0.3)+6.1+4.1+1.79+5.9</f>
        <v>25.79</v>
      </c>
      <c r="K11" s="275">
        <f>3.8-0-0.16</f>
        <v>3.6399999999999997</v>
      </c>
      <c r="L11" s="250">
        <f>J11*K11</f>
        <v>93.875599999999991</v>
      </c>
      <c r="M11" s="250">
        <f>P11</f>
        <v>7.9200000000000008</v>
      </c>
      <c r="N11" s="273">
        <f>(L11-M11)</f>
        <v>85.95559999999999</v>
      </c>
      <c r="P11" s="250">
        <f>P5*P10</f>
        <v>7.9200000000000008</v>
      </c>
      <c r="R11" s="275">
        <f>R10*R5</f>
        <v>6.12</v>
      </c>
      <c r="S11" s="275">
        <f>S10*S5</f>
        <v>6.12</v>
      </c>
      <c r="T11" s="275">
        <f>T10*T5</f>
        <v>2.04</v>
      </c>
      <c r="V11" s="275">
        <f>V10*V5</f>
        <v>10.199999999999999</v>
      </c>
      <c r="W11" s="275">
        <f>W10*W5</f>
        <v>2.72</v>
      </c>
      <c r="X11" s="275">
        <f>X10*X5</f>
        <v>2.04</v>
      </c>
      <c r="AC11" s="275"/>
      <c r="AD11" s="275"/>
      <c r="AE11" s="275"/>
      <c r="AF11" s="275"/>
      <c r="AG11" s="275">
        <f>AG10*AG5</f>
        <v>3.4</v>
      </c>
      <c r="AI11" s="275">
        <f>AI10*AI5</f>
        <v>6.12</v>
      </c>
    </row>
    <row r="12" spans="1:37">
      <c r="B12" s="254"/>
      <c r="E12" s="250">
        <v>2</v>
      </c>
      <c r="F12" s="250">
        <v>2.1</v>
      </c>
      <c r="G12" s="250">
        <f>E12*F12</f>
        <v>4.2</v>
      </c>
      <c r="H12" s="250">
        <f>SUM(Q12:AK12)</f>
        <v>0</v>
      </c>
      <c r="I12" s="273">
        <f>(G12-H12)</f>
        <v>4.2</v>
      </c>
    </row>
    <row r="13" spans="1:37">
      <c r="B13" s="254"/>
    </row>
    <row r="14" spans="1:37">
      <c r="M14" s="257"/>
    </row>
    <row r="15" spans="1:37">
      <c r="M15" s="257"/>
      <c r="P15" s="280">
        <v>4</v>
      </c>
      <c r="Q15" s="279"/>
      <c r="R15" s="279"/>
      <c r="S15" s="279"/>
      <c r="T15" s="279"/>
      <c r="U15" s="279">
        <v>1</v>
      </c>
      <c r="V15" s="279"/>
      <c r="W15" s="279"/>
      <c r="X15" s="279"/>
      <c r="Y15" s="279">
        <v>4</v>
      </c>
      <c r="Z15" s="279">
        <v>1</v>
      </c>
      <c r="AA15" s="279">
        <v>2</v>
      </c>
      <c r="AB15" s="279">
        <v>1</v>
      </c>
      <c r="AC15" s="273">
        <v>1</v>
      </c>
      <c r="AD15" s="273"/>
      <c r="AE15" s="273"/>
      <c r="AF15" s="273"/>
      <c r="AG15" s="273">
        <v>2</v>
      </c>
      <c r="AH15" s="273"/>
      <c r="AI15" s="273"/>
      <c r="AJ15" s="273"/>
      <c r="AK15" s="273"/>
    </row>
    <row r="16" spans="1:37">
      <c r="A16" s="258"/>
      <c r="B16" s="254" t="s">
        <v>241</v>
      </c>
      <c r="E16" s="250">
        <f>2+3.6+5.6+1.3+5.9+5.95+5.6+5.6+3.6+5.95+2+5.9</f>
        <v>53</v>
      </c>
      <c r="F16" s="250">
        <f>3.8-0-0.5</f>
        <v>3.3</v>
      </c>
      <c r="G16" s="250">
        <f>E16*F16</f>
        <v>174.89999999999998</v>
      </c>
      <c r="H16" s="250">
        <f>SUM(Q16:AK16)</f>
        <v>40.549999999999997</v>
      </c>
      <c r="I16" s="273">
        <f>(G16-H16)</f>
        <v>134.34999999999997</v>
      </c>
      <c r="J16" s="250">
        <f>1.5+6+4.6+4.6+3.6+5.9+1.8+4.1+3.71+3.71+1.5</f>
        <v>41.02</v>
      </c>
      <c r="K16" s="275">
        <f>3.8-0-0.16</f>
        <v>3.6399999999999997</v>
      </c>
      <c r="L16" s="250">
        <f>J16*K16</f>
        <v>149.31280000000001</v>
      </c>
      <c r="M16" s="250">
        <f>P16</f>
        <v>7.9200000000000008</v>
      </c>
      <c r="N16" s="273">
        <f>(L16-M16)</f>
        <v>141.39280000000002</v>
      </c>
      <c r="P16" s="250">
        <f>P5*P15</f>
        <v>7.9200000000000008</v>
      </c>
      <c r="U16" s="275">
        <f>U15*U5</f>
        <v>4.8600000000000003</v>
      </c>
      <c r="Y16" s="275">
        <f>Y15*Y5</f>
        <v>10.8</v>
      </c>
      <c r="Z16" s="275">
        <f>Z15*Z5</f>
        <v>5.4</v>
      </c>
      <c r="AA16" s="275">
        <f>AA15*AA5</f>
        <v>4.32</v>
      </c>
      <c r="AB16" s="275">
        <f>AB15*AB5</f>
        <v>1.62</v>
      </c>
      <c r="AC16" s="275">
        <f>AC15*AC5</f>
        <v>6.75</v>
      </c>
      <c r="AD16" s="275"/>
      <c r="AE16" s="275"/>
      <c r="AF16" s="275"/>
      <c r="AG16" s="275">
        <f>AG15*AG5</f>
        <v>6.8</v>
      </c>
    </row>
    <row r="17" spans="1:28">
      <c r="A17" s="258"/>
      <c r="B17" s="254"/>
    </row>
    <row r="18" spans="1:28">
      <c r="J18" s="257"/>
      <c r="K18" s="257"/>
      <c r="M18" s="259"/>
    </row>
    <row r="19" spans="1:28" s="261" customFormat="1">
      <c r="J19" s="257"/>
      <c r="K19" s="257"/>
      <c r="M19" s="259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</row>
    <row r="20" spans="1:28" s="261" customFormat="1">
      <c r="J20" s="454"/>
      <c r="K20" s="454"/>
      <c r="M20" s="260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</row>
    <row r="21" spans="1:28" s="261" customFormat="1" ht="15" customHeight="1">
      <c r="J21" s="454"/>
      <c r="K21" s="454"/>
      <c r="M21" s="260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</row>
    <row r="22" spans="1:28" s="261" customFormat="1">
      <c r="C22" s="253" t="s">
        <v>231</v>
      </c>
      <c r="E22" s="455" t="s">
        <v>129</v>
      </c>
      <c r="F22" s="455"/>
      <c r="G22" s="455"/>
      <c r="H22" s="455"/>
      <c r="I22" s="455"/>
      <c r="K22" s="451"/>
      <c r="L22" s="452"/>
      <c r="M22" s="298"/>
      <c r="N22" s="298"/>
      <c r="O22" s="298"/>
      <c r="P22" s="298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</row>
    <row r="23" spans="1:28" s="261" customFormat="1" ht="42" customHeight="1">
      <c r="E23" s="243" t="s">
        <v>286</v>
      </c>
      <c r="F23" s="243" t="s">
        <v>287</v>
      </c>
      <c r="G23" s="243" t="s">
        <v>290</v>
      </c>
      <c r="H23" s="243" t="s">
        <v>288</v>
      </c>
      <c r="I23" s="243" t="s">
        <v>289</v>
      </c>
      <c r="J23" s="242" t="s">
        <v>131</v>
      </c>
      <c r="K23" s="243"/>
      <c r="L23" s="243"/>
      <c r="M23" s="243"/>
      <c r="N23" s="243"/>
      <c r="O23" s="243"/>
      <c r="P23" s="243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</row>
    <row r="24" spans="1:28" s="261" customFormat="1">
      <c r="B24" s="254" t="s">
        <v>238</v>
      </c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</row>
    <row r="25" spans="1:28" s="261" customFormat="1">
      <c r="B25" s="255" t="s">
        <v>239</v>
      </c>
      <c r="C25" s="261">
        <v>285.63099999999997</v>
      </c>
      <c r="I25" s="261">
        <f>C25</f>
        <v>285.63099999999997</v>
      </c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6" spans="1:28" s="261" customFormat="1">
      <c r="B26" s="255" t="s">
        <v>130</v>
      </c>
      <c r="C26" s="261">
        <v>2.97</v>
      </c>
      <c r="F26" s="261">
        <f>C26</f>
        <v>2.97</v>
      </c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</row>
    <row r="27" spans="1:28" s="261" customFormat="1"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</row>
    <row r="28" spans="1:28" s="261" customFormat="1"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</row>
    <row r="29" spans="1:28" s="261" customFormat="1"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</row>
    <row r="30" spans="1:28" s="261" customFormat="1">
      <c r="B30" s="254" t="s">
        <v>240</v>
      </c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</row>
    <row r="31" spans="1:28" s="261" customFormat="1">
      <c r="B31" s="299" t="s">
        <v>232</v>
      </c>
      <c r="C31" s="300">
        <v>90.885000000000005</v>
      </c>
      <c r="E31" s="260">
        <f>C31</f>
        <v>90.885000000000005</v>
      </c>
      <c r="I31" s="260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</row>
    <row r="32" spans="1:28" s="261" customFormat="1">
      <c r="B32" s="299" t="s">
        <v>233</v>
      </c>
      <c r="C32" s="300">
        <v>30.32</v>
      </c>
      <c r="F32" s="260">
        <f>C32</f>
        <v>30.32</v>
      </c>
      <c r="I32" s="260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</row>
    <row r="33" spans="1:28" s="261" customFormat="1">
      <c r="B33" s="299" t="s">
        <v>234</v>
      </c>
      <c r="C33" s="300">
        <v>36.195</v>
      </c>
      <c r="F33" s="260">
        <f>C33</f>
        <v>36.195</v>
      </c>
      <c r="I33" s="260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</row>
    <row r="34" spans="1:28" s="261" customFormat="1">
      <c r="B34" s="299" t="s">
        <v>132</v>
      </c>
      <c r="C34" s="300">
        <v>22.2</v>
      </c>
      <c r="E34" s="260">
        <f>C34</f>
        <v>22.2</v>
      </c>
      <c r="I34" s="260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</row>
    <row r="35" spans="1:28" s="261" customFormat="1">
      <c r="B35" s="299" t="s">
        <v>130</v>
      </c>
      <c r="C35" s="300">
        <v>6.4429999999999996</v>
      </c>
      <c r="F35" s="261">
        <f>C35</f>
        <v>6.4429999999999996</v>
      </c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</row>
    <row r="36" spans="1:28" s="261" customFormat="1" ht="28">
      <c r="B36" s="301" t="s">
        <v>291</v>
      </c>
      <c r="C36" s="178">
        <f>20.584</f>
        <v>20.584</v>
      </c>
      <c r="G36" s="260">
        <f>C36</f>
        <v>20.584</v>
      </c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</row>
    <row r="37" spans="1:28" s="261" customFormat="1">
      <c r="B37" s="299" t="s">
        <v>133</v>
      </c>
      <c r="C37" s="178">
        <v>9.4</v>
      </c>
      <c r="H37" s="260">
        <f>C37</f>
        <v>9.4</v>
      </c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</row>
    <row r="38" spans="1:28" s="261" customFormat="1">
      <c r="B38" s="299" t="s">
        <v>131</v>
      </c>
      <c r="C38" s="178">
        <v>68.531000000000006</v>
      </c>
      <c r="J38" s="261">
        <f>C38</f>
        <v>68.531000000000006</v>
      </c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</row>
    <row r="39" spans="1:28" s="261" customFormat="1">
      <c r="B39" s="267" t="s">
        <v>236</v>
      </c>
      <c r="C39" s="302">
        <f>SUM(C31:C38)</f>
        <v>284.55799999999999</v>
      </c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</row>
    <row r="40" spans="1:28" s="261" customFormat="1">
      <c r="A40" s="258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</row>
    <row r="42" spans="1:28" s="261" customFormat="1"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</row>
    <row r="43" spans="1:28" s="261" customFormat="1">
      <c r="M43" s="257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</row>
    <row r="44" spans="1:28" s="261" customFormat="1">
      <c r="A44" s="258"/>
      <c r="B44" s="254" t="s">
        <v>241</v>
      </c>
      <c r="J44" s="259"/>
      <c r="K44" s="259"/>
      <c r="M44" s="259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</row>
    <row r="45" spans="1:28" s="261" customFormat="1">
      <c r="B45" s="299" t="s">
        <v>232</v>
      </c>
      <c r="C45" s="242">
        <v>73.759</v>
      </c>
      <c r="E45" s="261">
        <f>C45</f>
        <v>73.759</v>
      </c>
      <c r="M45" s="259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</row>
    <row r="46" spans="1:28" s="261" customFormat="1">
      <c r="B46" s="299" t="s">
        <v>242</v>
      </c>
      <c r="C46" s="242">
        <v>36.463000000000001</v>
      </c>
      <c r="E46" s="261">
        <f>C46</f>
        <v>36.463000000000001</v>
      </c>
      <c r="M46" s="259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</row>
    <row r="47" spans="1:28" s="261" customFormat="1">
      <c r="B47" s="299" t="s">
        <v>243</v>
      </c>
      <c r="C47" s="242">
        <v>34.15</v>
      </c>
      <c r="E47" s="261">
        <f>C47</f>
        <v>34.15</v>
      </c>
      <c r="M47" s="259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</row>
    <row r="48" spans="1:28" s="261" customFormat="1">
      <c r="B48" s="299" t="s">
        <v>130</v>
      </c>
      <c r="C48" s="242">
        <v>6.4429999999999996</v>
      </c>
      <c r="D48" s="252"/>
      <c r="E48" s="252"/>
      <c r="F48" s="252">
        <f>C48</f>
        <v>6.4429999999999996</v>
      </c>
      <c r="G48" s="252"/>
      <c r="H48" s="252"/>
      <c r="I48" s="252"/>
      <c r="M48" s="259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</row>
    <row r="49" spans="2:28" s="261" customFormat="1">
      <c r="B49" s="299" t="s">
        <v>235</v>
      </c>
      <c r="C49" s="242">
        <v>34.347999999999999</v>
      </c>
      <c r="F49" s="259"/>
      <c r="G49" s="261">
        <f>C49</f>
        <v>34.347999999999999</v>
      </c>
      <c r="M49" s="259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</row>
    <row r="50" spans="2:28" s="261" customFormat="1">
      <c r="B50" s="299" t="s">
        <v>244</v>
      </c>
      <c r="C50" s="242">
        <v>13.499000000000001</v>
      </c>
      <c r="E50" s="261">
        <f>C50</f>
        <v>13.499000000000001</v>
      </c>
      <c r="F50" s="259"/>
      <c r="M50" s="259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</row>
    <row r="51" spans="2:28" s="261" customFormat="1">
      <c r="B51" s="299" t="s">
        <v>245</v>
      </c>
      <c r="C51" s="242">
        <v>5.4160000000000004</v>
      </c>
      <c r="E51" s="261">
        <f>C51</f>
        <v>5.4160000000000004</v>
      </c>
      <c r="F51" s="259"/>
      <c r="M51" s="259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</row>
    <row r="52" spans="2:28" s="261" customFormat="1">
      <c r="B52" s="299" t="s">
        <v>246</v>
      </c>
      <c r="C52" s="242">
        <v>21.98</v>
      </c>
      <c r="F52" s="259"/>
      <c r="G52" s="259"/>
      <c r="H52" s="259">
        <f>C52</f>
        <v>21.98</v>
      </c>
      <c r="I52" s="259"/>
      <c r="M52" s="259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</row>
    <row r="53" spans="2:28" s="261" customFormat="1">
      <c r="B53" s="299" t="s">
        <v>247</v>
      </c>
      <c r="C53" s="242">
        <v>8.3209999999999997</v>
      </c>
      <c r="H53" s="259">
        <f>C53</f>
        <v>8.3209999999999997</v>
      </c>
      <c r="M53" s="259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</row>
    <row r="54" spans="2:28" s="261" customFormat="1">
      <c r="B54" s="267" t="s">
        <v>248</v>
      </c>
      <c r="C54" s="267">
        <f>SUM(C45:C53)</f>
        <v>234.37899999999999</v>
      </c>
      <c r="M54" s="259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</row>
    <row r="55" spans="2:28" s="261" customFormat="1">
      <c r="F55" s="259"/>
      <c r="M55" s="260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</row>
    <row r="56" spans="2:28" s="261" customFormat="1">
      <c r="J56" s="257"/>
      <c r="K56" s="257"/>
      <c r="M56" s="259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</row>
    <row r="57" spans="2:28" s="261" customFormat="1">
      <c r="J57" s="257"/>
      <c r="K57" s="257"/>
      <c r="M57" s="259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</row>
    <row r="58" spans="2:28">
      <c r="B58" s="253" t="s">
        <v>127</v>
      </c>
      <c r="C58" s="303">
        <f>42.56/0.16</f>
        <v>266</v>
      </c>
    </row>
    <row r="59" spans="2:28" s="283" customFormat="1">
      <c r="B59" s="253" t="s">
        <v>319</v>
      </c>
      <c r="C59" s="303">
        <f>D74</f>
        <v>52.400000000000006</v>
      </c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</row>
    <row r="60" spans="2:28" s="261" customFormat="1">
      <c r="B60" s="267" t="s">
        <v>292</v>
      </c>
      <c r="C60" s="242">
        <f>2*1.6</f>
        <v>3.2</v>
      </c>
      <c r="D60" s="257"/>
      <c r="E60" s="257"/>
      <c r="F60" s="257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</row>
    <row r="61" spans="2:28">
      <c r="B61" s="255" t="s">
        <v>256</v>
      </c>
      <c r="C61" s="256"/>
    </row>
    <row r="62" spans="2:28">
      <c r="B62" s="255" t="s">
        <v>257</v>
      </c>
      <c r="C62" s="256"/>
    </row>
    <row r="63" spans="2:28">
      <c r="B63" s="255" t="s">
        <v>258</v>
      </c>
      <c r="C63" s="256"/>
    </row>
    <row r="64" spans="2:28">
      <c r="B64" s="255" t="s">
        <v>259</v>
      </c>
      <c r="C64" s="256"/>
    </row>
    <row r="65" spans="2:37">
      <c r="B65" s="255" t="s">
        <v>260</v>
      </c>
    </row>
    <row r="66" spans="2:37">
      <c r="B66" s="255"/>
      <c r="C66" s="256"/>
      <c r="D66" s="267" t="s">
        <v>99</v>
      </c>
      <c r="E66" s="267" t="s">
        <v>100</v>
      </c>
      <c r="F66" s="267" t="s">
        <v>228</v>
      </c>
      <c r="G66" s="267" t="s">
        <v>231</v>
      </c>
      <c r="H66" s="257"/>
    </row>
    <row r="67" spans="2:37">
      <c r="B67" s="255"/>
      <c r="C67" s="256"/>
      <c r="D67" s="239" t="s">
        <v>20</v>
      </c>
      <c r="E67" s="239" t="s">
        <v>20</v>
      </c>
      <c r="F67" s="239" t="s">
        <v>20</v>
      </c>
      <c r="G67" s="239" t="s">
        <v>23</v>
      </c>
    </row>
    <row r="68" spans="2:37">
      <c r="B68" s="264" t="s">
        <v>261</v>
      </c>
      <c r="C68" s="262"/>
      <c r="D68" s="250">
        <v>13.05</v>
      </c>
      <c r="E68" s="260">
        <f>(D68/3+1)*0.2</f>
        <v>1.07</v>
      </c>
      <c r="F68" s="250">
        <f>0.8-0.15</f>
        <v>0.65</v>
      </c>
      <c r="G68" s="260">
        <f>(D68-E68)*F68</f>
        <v>7.7870000000000008</v>
      </c>
      <c r="H68" s="260"/>
    </row>
    <row r="69" spans="2:37">
      <c r="B69" s="255"/>
      <c r="D69" s="250">
        <v>13.05</v>
      </c>
      <c r="E69" s="260">
        <f t="shared" ref="E69:E71" si="1">(D69/3+1)*0.2</f>
        <v>1.07</v>
      </c>
      <c r="F69" s="250">
        <f t="shared" ref="F69:F71" si="2">0.8-0.15</f>
        <v>0.65</v>
      </c>
      <c r="G69" s="260">
        <f t="shared" ref="G69:G71" si="3">(D69-E69)*F69</f>
        <v>7.7870000000000008</v>
      </c>
      <c r="H69" s="260"/>
    </row>
    <row r="70" spans="2:37">
      <c r="D70" s="250">
        <v>19.7</v>
      </c>
      <c r="E70" s="260">
        <f t="shared" si="1"/>
        <v>1.5133333333333334</v>
      </c>
      <c r="F70" s="250">
        <f t="shared" si="2"/>
        <v>0.65</v>
      </c>
      <c r="G70" s="260">
        <f t="shared" si="3"/>
        <v>11.821333333333333</v>
      </c>
      <c r="H70" s="260"/>
    </row>
    <row r="71" spans="2:37" ht="13.5" customHeight="1">
      <c r="D71" s="250">
        <v>19.7</v>
      </c>
      <c r="E71" s="260">
        <f t="shared" si="1"/>
        <v>1.5133333333333334</v>
      </c>
      <c r="F71" s="250">
        <f t="shared" si="2"/>
        <v>0.65</v>
      </c>
      <c r="G71" s="260">
        <f t="shared" si="3"/>
        <v>11.821333333333333</v>
      </c>
      <c r="H71" s="260"/>
    </row>
    <row r="72" spans="2:37">
      <c r="B72" s="251" t="s">
        <v>263</v>
      </c>
      <c r="C72" s="257" t="s">
        <v>20</v>
      </c>
      <c r="D72" s="269">
        <f>SUM(D68:D71)</f>
        <v>65.5</v>
      </c>
      <c r="G72" s="259">
        <f>SUM(G68:G71)</f>
        <v>39.216666666666669</v>
      </c>
      <c r="H72" s="259"/>
    </row>
    <row r="73" spans="2:37">
      <c r="B73" s="255" t="s">
        <v>264</v>
      </c>
      <c r="C73" s="250" t="s">
        <v>23</v>
      </c>
      <c r="D73" s="268">
        <f>G72</f>
        <v>39.216666666666669</v>
      </c>
    </row>
    <row r="74" spans="2:37">
      <c r="B74" s="255" t="s">
        <v>265</v>
      </c>
      <c r="C74" s="262" t="s">
        <v>23</v>
      </c>
      <c r="D74" s="268">
        <f>(D68+D69+D70+D71)*0.8</f>
        <v>52.400000000000006</v>
      </c>
    </row>
    <row r="75" spans="2:37" ht="28">
      <c r="B75" s="263" t="s">
        <v>262</v>
      </c>
      <c r="C75" s="262" t="s">
        <v>23</v>
      </c>
      <c r="D75" s="257">
        <f>D72*(4+4+3+4+5+30+4+4+4+30+4+4)/100</f>
        <v>65.5</v>
      </c>
    </row>
    <row r="76" spans="2:37">
      <c r="B76" s="255" t="s">
        <v>298</v>
      </c>
      <c r="C76" s="256" t="s">
        <v>20</v>
      </c>
      <c r="F76" s="250">
        <f>3*6.9+2.5+4*6.9+3+2+1.5</f>
        <v>57.300000000000004</v>
      </c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</row>
    <row r="77" spans="2:37" s="261" customFormat="1">
      <c r="B77" s="255" t="s">
        <v>299</v>
      </c>
      <c r="C77" s="256" t="s">
        <v>21</v>
      </c>
      <c r="F77" s="261">
        <f>7*2</f>
        <v>14</v>
      </c>
    </row>
    <row r="78" spans="2:37" s="261" customFormat="1">
      <c r="B78" s="255"/>
      <c r="C78" s="256"/>
    </row>
    <row r="79" spans="2:37" s="261" customFormat="1">
      <c r="B79" s="255"/>
      <c r="C79" s="256"/>
      <c r="Q79" s="444" t="s">
        <v>284</v>
      </c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6"/>
      <c r="AI79" s="447" t="s">
        <v>282</v>
      </c>
      <c r="AJ79" s="448"/>
      <c r="AK79" s="449"/>
    </row>
    <row r="80" spans="2:37" s="261" customFormat="1" ht="24">
      <c r="B80" s="255"/>
      <c r="C80" s="256"/>
      <c r="P80" s="277" t="s">
        <v>281</v>
      </c>
      <c r="Q80" s="248" t="s">
        <v>213</v>
      </c>
      <c r="R80" s="248" t="s">
        <v>225</v>
      </c>
      <c r="S80" s="248" t="s">
        <v>266</v>
      </c>
      <c r="T80" s="248" t="s">
        <v>226</v>
      </c>
      <c r="U80" s="248" t="s">
        <v>227</v>
      </c>
      <c r="V80" s="248" t="s">
        <v>217</v>
      </c>
      <c r="W80" s="248" t="s">
        <v>218</v>
      </c>
      <c r="X80" s="248" t="s">
        <v>219</v>
      </c>
      <c r="Y80" s="248" t="s">
        <v>220</v>
      </c>
      <c r="Z80" s="248" t="s">
        <v>221</v>
      </c>
      <c r="AA80" s="248" t="s">
        <v>222</v>
      </c>
      <c r="AB80" s="248" t="s">
        <v>223</v>
      </c>
      <c r="AC80" s="248" t="s">
        <v>224</v>
      </c>
      <c r="AD80" s="248" t="s">
        <v>267</v>
      </c>
      <c r="AE80" s="248" t="s">
        <v>268</v>
      </c>
      <c r="AF80" s="248" t="s">
        <v>269</v>
      </c>
      <c r="AG80" s="248" t="s">
        <v>214</v>
      </c>
      <c r="AH80" s="248" t="s">
        <v>273</v>
      </c>
      <c r="AI80" s="248" t="s">
        <v>128</v>
      </c>
      <c r="AJ80" s="248" t="s">
        <v>215</v>
      </c>
      <c r="AK80" s="248" t="s">
        <v>216</v>
      </c>
    </row>
    <row r="81" spans="2:37" s="261" customFormat="1">
      <c r="B81" s="255"/>
      <c r="C81" s="256"/>
      <c r="P81" s="277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</row>
    <row r="82" spans="2:37">
      <c r="J82" s="261"/>
      <c r="K82" s="261"/>
      <c r="M82" s="260"/>
      <c r="P82" s="274">
        <f>0.9*2.2</f>
        <v>1.9800000000000002</v>
      </c>
      <c r="Q82" s="242">
        <v>7.54</v>
      </c>
      <c r="R82" s="242">
        <v>6.12</v>
      </c>
      <c r="S82" s="242">
        <v>6.12</v>
      </c>
      <c r="T82" s="242">
        <v>2.04</v>
      </c>
      <c r="U82" s="242">
        <v>4.8600000000000003</v>
      </c>
      <c r="V82" s="242">
        <v>3.4</v>
      </c>
      <c r="W82" s="242">
        <v>2.72</v>
      </c>
      <c r="X82" s="242">
        <v>2.04</v>
      </c>
      <c r="Y82" s="242">
        <v>2.7</v>
      </c>
      <c r="Z82" s="242">
        <v>5.4</v>
      </c>
      <c r="AA82" s="242">
        <v>2.16</v>
      </c>
      <c r="AB82" s="242">
        <v>1.62</v>
      </c>
      <c r="AC82" s="242">
        <v>6.75</v>
      </c>
      <c r="AD82" s="242">
        <v>1.38</v>
      </c>
      <c r="AE82" s="242">
        <v>0.76</v>
      </c>
      <c r="AF82" s="242">
        <v>1.32</v>
      </c>
      <c r="AG82" s="242">
        <v>3.4</v>
      </c>
      <c r="AH82" s="242">
        <v>2.7</v>
      </c>
      <c r="AI82" s="242">
        <v>6.12</v>
      </c>
      <c r="AJ82" s="242">
        <v>3.4</v>
      </c>
      <c r="AK82" s="242">
        <v>11.9</v>
      </c>
    </row>
    <row r="83" spans="2:37">
      <c r="C83" s="253" t="s">
        <v>231</v>
      </c>
      <c r="E83" s="450" t="s">
        <v>229</v>
      </c>
      <c r="F83" s="451"/>
      <c r="G83" s="451"/>
      <c r="H83" s="451"/>
      <c r="I83" s="452"/>
      <c r="J83" s="453" t="s">
        <v>230</v>
      </c>
      <c r="K83" s="453"/>
      <c r="L83" s="453"/>
      <c r="M83" s="453"/>
      <c r="N83" s="453"/>
      <c r="O83" s="276"/>
    </row>
    <row r="84" spans="2:37" ht="28">
      <c r="E84" s="250" t="s">
        <v>99</v>
      </c>
      <c r="F84" s="250" t="s">
        <v>100</v>
      </c>
      <c r="G84" s="250" t="s">
        <v>228</v>
      </c>
      <c r="H84" s="242" t="s">
        <v>231</v>
      </c>
      <c r="I84" s="243" t="s">
        <v>280</v>
      </c>
      <c r="J84" s="242" t="s">
        <v>295</v>
      </c>
    </row>
    <row r="85" spans="2:37">
      <c r="B85" s="254" t="s">
        <v>238</v>
      </c>
    </row>
    <row r="86" spans="2:37">
      <c r="B86" s="255" t="s">
        <v>239</v>
      </c>
      <c r="C86" s="250">
        <v>285.63099999999997</v>
      </c>
      <c r="P86" s="250">
        <v>1</v>
      </c>
    </row>
    <row r="87" spans="2:37">
      <c r="B87" s="255" t="s">
        <v>130</v>
      </c>
      <c r="C87" s="250">
        <v>2.97</v>
      </c>
      <c r="E87" s="250">
        <v>1.5</v>
      </c>
      <c r="F87" s="250">
        <v>1.9</v>
      </c>
      <c r="G87" s="250">
        <f>3.8-0.16</f>
        <v>3.6399999999999997</v>
      </c>
      <c r="H87" s="280">
        <f>(E87+F87)*2*G87</f>
        <v>24.751999999999999</v>
      </c>
      <c r="I87" s="250">
        <f>P87</f>
        <v>1.9800000000000002</v>
      </c>
      <c r="J87" s="273">
        <f>H87-I87</f>
        <v>22.771999999999998</v>
      </c>
      <c r="P87" s="250">
        <f>P86*P82</f>
        <v>1.9800000000000002</v>
      </c>
    </row>
    <row r="91" spans="2:37">
      <c r="B91" s="254" t="s">
        <v>240</v>
      </c>
      <c r="P91" s="250">
        <v>1</v>
      </c>
      <c r="Q91" s="275">
        <v>1</v>
      </c>
      <c r="S91" s="275">
        <v>1</v>
      </c>
      <c r="V91" s="275">
        <v>2</v>
      </c>
      <c r="AI91" s="250">
        <v>1</v>
      </c>
    </row>
    <row r="92" spans="2:37">
      <c r="B92" s="255" t="s">
        <v>232</v>
      </c>
      <c r="C92" s="270">
        <v>90.885000000000005</v>
      </c>
      <c r="D92" s="443"/>
      <c r="E92" s="261">
        <f>12.45+7.6+7.6+6+0.4*4+0.1*6</f>
        <v>35.85</v>
      </c>
      <c r="G92" s="261">
        <f>3.8-0.16</f>
        <v>3.6399999999999997</v>
      </c>
      <c r="H92" s="305">
        <f>(E92+F92)*2*G92</f>
        <v>260.988</v>
      </c>
      <c r="I92" s="261">
        <f>SUM(P92:AK92)</f>
        <v>28.560000000000002</v>
      </c>
      <c r="J92" s="273">
        <f>H92-I92</f>
        <v>232.428</v>
      </c>
      <c r="P92" s="250">
        <f>P91*P82</f>
        <v>1.9800000000000002</v>
      </c>
      <c r="Q92" s="261">
        <f t="shared" ref="Q92:AI92" si="4">Q91*Q82</f>
        <v>7.54</v>
      </c>
      <c r="R92" s="261"/>
      <c r="S92" s="261">
        <f t="shared" si="4"/>
        <v>6.12</v>
      </c>
      <c r="T92" s="261"/>
      <c r="U92" s="261"/>
      <c r="V92" s="261">
        <f t="shared" si="4"/>
        <v>6.8</v>
      </c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>
        <f t="shared" si="4"/>
        <v>6.12</v>
      </c>
    </row>
    <row r="93" spans="2:37" s="261" customFormat="1">
      <c r="B93" s="255"/>
      <c r="C93" s="270"/>
      <c r="D93" s="443"/>
      <c r="P93" s="261">
        <v>1</v>
      </c>
      <c r="Q93" s="275"/>
      <c r="R93" s="275"/>
      <c r="S93" s="275"/>
      <c r="T93" s="275"/>
      <c r="U93" s="275"/>
      <c r="V93" s="275">
        <v>1</v>
      </c>
      <c r="W93" s="275"/>
      <c r="X93" s="275"/>
      <c r="Y93" s="275"/>
      <c r="Z93" s="275"/>
      <c r="AA93" s="275"/>
      <c r="AB93" s="275"/>
    </row>
    <row r="94" spans="2:37">
      <c r="B94" s="255" t="s">
        <v>233</v>
      </c>
      <c r="C94" s="270">
        <v>30.32</v>
      </c>
      <c r="D94" s="443"/>
      <c r="E94" s="250">
        <f>4.8+4.8+0.3+0.1</f>
        <v>10</v>
      </c>
      <c r="G94" s="261">
        <f>3.8-0.16</f>
        <v>3.6399999999999997</v>
      </c>
      <c r="H94" s="305">
        <f>(E94+F94)*2*G94</f>
        <v>72.8</v>
      </c>
      <c r="I94" s="261">
        <f>SUM(P94:AK94)</f>
        <v>5.38</v>
      </c>
      <c r="J94" s="273">
        <f>H94-I94</f>
        <v>67.42</v>
      </c>
      <c r="P94" s="250">
        <f>P93*P82</f>
        <v>1.9800000000000002</v>
      </c>
      <c r="Q94" s="261"/>
      <c r="R94" s="261"/>
      <c r="S94" s="261"/>
      <c r="T94" s="261"/>
      <c r="U94" s="261"/>
      <c r="V94" s="261">
        <f t="shared" ref="V94" si="5">V93*V82</f>
        <v>3.4</v>
      </c>
    </row>
    <row r="95" spans="2:37" s="261" customFormat="1">
      <c r="B95" s="255"/>
      <c r="C95" s="270"/>
      <c r="D95" s="443"/>
      <c r="Q95" s="275"/>
      <c r="R95" s="275">
        <v>1</v>
      </c>
      <c r="S95" s="275">
        <v>1</v>
      </c>
      <c r="T95" s="275"/>
      <c r="U95" s="275"/>
      <c r="V95" s="275"/>
      <c r="W95" s="275"/>
      <c r="X95" s="275"/>
      <c r="Y95" s="275"/>
      <c r="Z95" s="275"/>
      <c r="AA95" s="275"/>
      <c r="AB95" s="275"/>
    </row>
    <row r="96" spans="2:37">
      <c r="B96" s="255" t="s">
        <v>234</v>
      </c>
      <c r="C96" s="270">
        <v>36.195</v>
      </c>
      <c r="D96" s="443"/>
      <c r="E96" s="261">
        <f>4+1.6+1.6+4+6.15+0.3+0.1+0.3+0.1</f>
        <v>18.150000000000006</v>
      </c>
      <c r="G96" s="261">
        <f>3.8-0.16</f>
        <v>3.6399999999999997</v>
      </c>
      <c r="H96" s="305">
        <f>(E96+F96)*2*G96</f>
        <v>132.13200000000003</v>
      </c>
      <c r="I96" s="261">
        <f>SUM(P96:AK96)</f>
        <v>12.24</v>
      </c>
      <c r="J96" s="273">
        <f>H96-I96</f>
        <v>119.89200000000004</v>
      </c>
      <c r="R96" s="275">
        <f>R95*R82</f>
        <v>6.12</v>
      </c>
      <c r="S96" s="275">
        <f>S95*S82</f>
        <v>6.12</v>
      </c>
    </row>
    <row r="97" spans="1:37" s="261" customFormat="1">
      <c r="B97" s="255"/>
      <c r="C97" s="270"/>
      <c r="P97" s="261">
        <v>1</v>
      </c>
      <c r="Q97" s="275"/>
      <c r="R97" s="275"/>
      <c r="S97" s="275"/>
      <c r="T97" s="275"/>
      <c r="U97" s="275"/>
      <c r="V97" s="275"/>
      <c r="W97" s="275">
        <v>1</v>
      </c>
      <c r="X97" s="275">
        <v>1</v>
      </c>
      <c r="Y97" s="275"/>
      <c r="Z97" s="275"/>
      <c r="AA97" s="275"/>
      <c r="AB97" s="275"/>
      <c r="AG97" s="261">
        <v>1</v>
      </c>
    </row>
    <row r="98" spans="1:37">
      <c r="B98" s="255" t="s">
        <v>132</v>
      </c>
      <c r="C98" s="270">
        <v>22.2</v>
      </c>
      <c r="E98" s="250">
        <v>6</v>
      </c>
      <c r="F98" s="250">
        <v>3.6</v>
      </c>
      <c r="G98" s="261">
        <f>3.8-0.16</f>
        <v>3.6399999999999997</v>
      </c>
      <c r="H98" s="305">
        <f>(E98+F98)*2*G98</f>
        <v>69.887999999999991</v>
      </c>
      <c r="I98" s="261">
        <f>SUM(P98:AK98)</f>
        <v>10.14</v>
      </c>
      <c r="J98" s="273">
        <f>H98-I98</f>
        <v>59.74799999999999</v>
      </c>
      <c r="P98" s="250">
        <f>P97*P82</f>
        <v>1.9800000000000002</v>
      </c>
      <c r="W98" s="261">
        <f>W97*W82</f>
        <v>2.72</v>
      </c>
      <c r="X98" s="261">
        <f t="shared" ref="X98:AG98" si="6">X97*X82</f>
        <v>2.04</v>
      </c>
      <c r="Y98" s="261"/>
      <c r="Z98" s="261"/>
      <c r="AA98" s="261"/>
      <c r="AB98" s="261"/>
      <c r="AC98" s="261"/>
      <c r="AD98" s="261"/>
      <c r="AE98" s="261"/>
      <c r="AF98" s="261"/>
      <c r="AG98" s="261">
        <f t="shared" si="6"/>
        <v>3.4</v>
      </c>
    </row>
    <row r="99" spans="1:37" s="261" customFormat="1">
      <c r="B99" s="255"/>
      <c r="C99" s="270"/>
      <c r="P99" s="261">
        <v>1</v>
      </c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</row>
    <row r="100" spans="1:37">
      <c r="B100" s="255" t="s">
        <v>130</v>
      </c>
      <c r="C100" s="270">
        <v>6.4429999999999996</v>
      </c>
      <c r="E100" s="250">
        <v>1.79</v>
      </c>
      <c r="F100" s="250">
        <v>3.6</v>
      </c>
      <c r="G100" s="261">
        <f>3.8-0.16</f>
        <v>3.6399999999999997</v>
      </c>
      <c r="H100" s="305">
        <f>(E100+F100)*2*G100</f>
        <v>39.239200000000004</v>
      </c>
      <c r="I100" s="261">
        <f>SUM(P100:AK100)</f>
        <v>1.9800000000000002</v>
      </c>
      <c r="J100" s="273">
        <f>H100-I100</f>
        <v>37.259200000000007</v>
      </c>
      <c r="K100" s="261"/>
      <c r="L100" s="261"/>
      <c r="M100" s="261"/>
      <c r="N100" s="261"/>
      <c r="O100" s="261"/>
      <c r="P100" s="261">
        <f>P99*P82</f>
        <v>1.9800000000000002</v>
      </c>
    </row>
    <row r="101" spans="1:37" s="261" customFormat="1">
      <c r="B101" s="255"/>
      <c r="C101" s="270"/>
      <c r="P101" s="261">
        <v>3</v>
      </c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</row>
    <row r="102" spans="1:37">
      <c r="B102" s="255" t="s">
        <v>235</v>
      </c>
      <c r="C102" s="260">
        <v>20.584</v>
      </c>
      <c r="E102" s="250">
        <f>4.6+4.6+6+6+0.6*2</f>
        <v>22.4</v>
      </c>
      <c r="G102" s="261">
        <f>3.8-0.16</f>
        <v>3.6399999999999997</v>
      </c>
      <c r="H102" s="305">
        <f>(E102+F102)*2*G102</f>
        <v>163.07199999999997</v>
      </c>
      <c r="I102" s="261">
        <f>SUM(P102:AK102)</f>
        <v>5.94</v>
      </c>
      <c r="J102" s="273">
        <f>H102-I102</f>
        <v>157.13199999999998</v>
      </c>
      <c r="P102" s="250">
        <f>P101*P82</f>
        <v>5.94</v>
      </c>
    </row>
    <row r="103" spans="1:37" s="261" customFormat="1">
      <c r="B103" s="255"/>
      <c r="C103" s="260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</row>
    <row r="104" spans="1:37">
      <c r="B104" s="255" t="s">
        <v>133</v>
      </c>
      <c r="C104" s="260">
        <v>9.4</v>
      </c>
    </row>
    <row r="105" spans="1:37">
      <c r="B105" s="255" t="s">
        <v>131</v>
      </c>
      <c r="C105" s="260">
        <v>68.531000000000006</v>
      </c>
    </row>
    <row r="106" spans="1:37">
      <c r="B106" s="257" t="s">
        <v>236</v>
      </c>
      <c r="C106" s="259">
        <f>SUM(C92:C105)</f>
        <v>284.55799999999999</v>
      </c>
      <c r="D106" s="259"/>
      <c r="E106" s="259"/>
      <c r="F106" s="259"/>
      <c r="G106" s="259"/>
      <c r="H106" s="313">
        <f t="shared" ref="H106:J106" si="7">SUM(H92:H105)</f>
        <v>738.11920000000009</v>
      </c>
      <c r="I106" s="259">
        <f t="shared" si="7"/>
        <v>64.240000000000009</v>
      </c>
      <c r="J106" s="259">
        <f t="shared" si="7"/>
        <v>673.87919999999997</v>
      </c>
    </row>
    <row r="107" spans="1:37">
      <c r="A107" s="258"/>
    </row>
    <row r="108" spans="1:37">
      <c r="P108" s="261"/>
      <c r="Q108" s="444" t="s">
        <v>284</v>
      </c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6"/>
      <c r="AI108" s="447" t="s">
        <v>282</v>
      </c>
      <c r="AJ108" s="448"/>
      <c r="AK108" s="449"/>
    </row>
    <row r="109" spans="1:37" ht="24">
      <c r="M109" s="257"/>
      <c r="P109" s="277" t="s">
        <v>281</v>
      </c>
      <c r="Q109" s="248" t="s">
        <v>213</v>
      </c>
      <c r="R109" s="248" t="s">
        <v>225</v>
      </c>
      <c r="S109" s="248" t="s">
        <v>266</v>
      </c>
      <c r="T109" s="248" t="s">
        <v>226</v>
      </c>
      <c r="U109" s="248" t="s">
        <v>227</v>
      </c>
      <c r="V109" s="248" t="s">
        <v>217</v>
      </c>
      <c r="W109" s="248" t="s">
        <v>218</v>
      </c>
      <c r="X109" s="248" t="s">
        <v>219</v>
      </c>
      <c r="Y109" s="248" t="s">
        <v>220</v>
      </c>
      <c r="Z109" s="248" t="s">
        <v>221</v>
      </c>
      <c r="AA109" s="248" t="s">
        <v>222</v>
      </c>
      <c r="AB109" s="248" t="s">
        <v>223</v>
      </c>
      <c r="AC109" s="248" t="s">
        <v>224</v>
      </c>
      <c r="AD109" s="248" t="s">
        <v>267</v>
      </c>
      <c r="AE109" s="248" t="s">
        <v>268</v>
      </c>
      <c r="AF109" s="248" t="s">
        <v>269</v>
      </c>
      <c r="AG109" s="248" t="s">
        <v>214</v>
      </c>
      <c r="AH109" s="248" t="s">
        <v>273</v>
      </c>
      <c r="AI109" s="248" t="s">
        <v>128</v>
      </c>
      <c r="AJ109" s="248" t="s">
        <v>215</v>
      </c>
      <c r="AK109" s="248" t="s">
        <v>216</v>
      </c>
    </row>
    <row r="110" spans="1:37" s="261" customFormat="1">
      <c r="M110" s="257"/>
      <c r="P110" s="274">
        <f>0.9*2.2</f>
        <v>1.9800000000000002</v>
      </c>
      <c r="Q110" s="242">
        <v>7.54</v>
      </c>
      <c r="R110" s="242">
        <v>6.12</v>
      </c>
      <c r="S110" s="242">
        <v>6.12</v>
      </c>
      <c r="T110" s="242">
        <v>2.04</v>
      </c>
      <c r="U110" s="242">
        <v>4.8600000000000003</v>
      </c>
      <c r="V110" s="242">
        <v>3.4</v>
      </c>
      <c r="W110" s="242">
        <v>2.72</v>
      </c>
      <c r="X110" s="242">
        <v>2.04</v>
      </c>
      <c r="Y110" s="242">
        <v>2.7</v>
      </c>
      <c r="Z110" s="242">
        <v>5.4</v>
      </c>
      <c r="AA110" s="242">
        <v>2.16</v>
      </c>
      <c r="AB110" s="242">
        <v>1.62</v>
      </c>
      <c r="AC110" s="242">
        <v>6.75</v>
      </c>
      <c r="AD110" s="242">
        <v>1.38</v>
      </c>
      <c r="AE110" s="242">
        <v>0.76</v>
      </c>
      <c r="AF110" s="242">
        <v>1.32</v>
      </c>
      <c r="AG110" s="242">
        <v>3.4</v>
      </c>
      <c r="AH110" s="242">
        <v>2.7</v>
      </c>
      <c r="AI110" s="242">
        <v>6.12</v>
      </c>
      <c r="AJ110" s="242">
        <v>3.4</v>
      </c>
      <c r="AK110" s="242">
        <v>11.9</v>
      </c>
    </row>
    <row r="111" spans="1:37">
      <c r="A111" s="258"/>
      <c r="B111" s="254" t="s">
        <v>241</v>
      </c>
      <c r="J111" s="259"/>
      <c r="K111" s="259"/>
      <c r="M111" s="259"/>
      <c r="U111" s="275">
        <v>1</v>
      </c>
      <c r="Y111" s="275">
        <v>1</v>
      </c>
      <c r="AA111" s="275">
        <v>1</v>
      </c>
      <c r="AC111" s="250">
        <v>1</v>
      </c>
      <c r="AH111" s="250">
        <v>1</v>
      </c>
    </row>
    <row r="112" spans="1:37">
      <c r="B112" s="255" t="s">
        <v>232</v>
      </c>
      <c r="C112" s="250">
        <v>73.759</v>
      </c>
      <c r="E112" s="250">
        <f>5.7+12.25+5.7+4.4+3.71+0.1+0.4*4+0.1*3</f>
        <v>33.76</v>
      </c>
      <c r="G112" s="261">
        <f>3.8-0.16</f>
        <v>3.6399999999999997</v>
      </c>
      <c r="H112" s="305">
        <f>(E112+F112)*2*G112</f>
        <v>245.77279999999996</v>
      </c>
      <c r="I112" s="261">
        <f>SUM(P112:AK112)</f>
        <v>19.169999999999998</v>
      </c>
      <c r="J112" s="273">
        <f>H112-I112</f>
        <v>226.60279999999997</v>
      </c>
      <c r="M112" s="259"/>
      <c r="U112" s="275">
        <f>U111*U110</f>
        <v>4.8600000000000003</v>
      </c>
      <c r="Y112" s="275">
        <f t="shared" ref="Y112:AH112" si="8">Y111*Y110</f>
        <v>2.7</v>
      </c>
      <c r="AA112" s="275">
        <f t="shared" si="8"/>
        <v>2.16</v>
      </c>
      <c r="AC112" s="275">
        <f t="shared" si="8"/>
        <v>6.75</v>
      </c>
      <c r="AD112" s="275"/>
      <c r="AE112" s="275"/>
      <c r="AF112" s="275"/>
      <c r="AG112" s="275"/>
      <c r="AH112" s="275">
        <f t="shared" si="8"/>
        <v>2.7</v>
      </c>
      <c r="AI112" s="275"/>
      <c r="AJ112" s="275"/>
      <c r="AK112" s="275"/>
    </row>
    <row r="113" spans="2:34" s="261" customFormat="1">
      <c r="B113" s="255"/>
      <c r="M113" s="259"/>
      <c r="P113" s="261">
        <v>1</v>
      </c>
      <c r="Q113" s="275"/>
      <c r="R113" s="275"/>
      <c r="S113" s="275"/>
      <c r="T113" s="275"/>
      <c r="U113" s="275"/>
      <c r="V113" s="275"/>
      <c r="W113" s="275"/>
      <c r="X113" s="275"/>
      <c r="Y113" s="275">
        <v>1</v>
      </c>
      <c r="Z113" s="275">
        <v>1</v>
      </c>
      <c r="AA113" s="275"/>
      <c r="AB113" s="275"/>
      <c r="AH113" s="261">
        <v>1</v>
      </c>
    </row>
    <row r="114" spans="2:34">
      <c r="B114" s="255" t="s">
        <v>242</v>
      </c>
      <c r="C114" s="250">
        <v>36.463000000000001</v>
      </c>
      <c r="E114" s="250">
        <v>6.6</v>
      </c>
      <c r="F114" s="250">
        <v>6.35</v>
      </c>
      <c r="G114" s="261">
        <f>3.8-0.16</f>
        <v>3.6399999999999997</v>
      </c>
      <c r="H114" s="305">
        <f>(E114+F114)*2*G114</f>
        <v>94.275999999999982</v>
      </c>
      <c r="I114" s="261">
        <f>SUM(P114:AK114)</f>
        <v>12.780000000000001</v>
      </c>
      <c r="J114" s="273">
        <f>H114-I114</f>
        <v>81.495999999999981</v>
      </c>
      <c r="M114" s="259"/>
      <c r="P114" s="261">
        <f>P113*P110</f>
        <v>1.9800000000000002</v>
      </c>
      <c r="Q114" s="261"/>
      <c r="R114" s="261"/>
      <c r="S114" s="261"/>
      <c r="T114" s="261"/>
      <c r="U114" s="261"/>
      <c r="V114" s="261"/>
      <c r="W114" s="261"/>
      <c r="X114" s="261"/>
      <c r="Y114" s="261">
        <f t="shared" ref="Y114:AH114" si="9">Y113*Y110</f>
        <v>2.7</v>
      </c>
      <c r="Z114" s="261">
        <f t="shared" si="9"/>
        <v>5.4</v>
      </c>
      <c r="AA114" s="261"/>
      <c r="AB114" s="261"/>
      <c r="AC114" s="261"/>
      <c r="AD114" s="261"/>
      <c r="AE114" s="261"/>
      <c r="AF114" s="261"/>
      <c r="AG114" s="261"/>
      <c r="AH114" s="261">
        <f t="shared" si="9"/>
        <v>2.7</v>
      </c>
    </row>
    <row r="115" spans="2:34" s="261" customFormat="1">
      <c r="B115" s="255"/>
      <c r="M115" s="259"/>
      <c r="P115" s="261">
        <v>1</v>
      </c>
      <c r="Q115" s="275"/>
      <c r="R115" s="275"/>
      <c r="S115" s="275"/>
      <c r="T115" s="275"/>
      <c r="U115" s="275"/>
      <c r="V115" s="275"/>
      <c r="W115" s="275"/>
      <c r="X115" s="275"/>
      <c r="Y115" s="275">
        <v>1</v>
      </c>
      <c r="Z115" s="275"/>
      <c r="AA115" s="275">
        <v>1</v>
      </c>
      <c r="AB115" s="275">
        <v>1</v>
      </c>
    </row>
    <row r="116" spans="2:34">
      <c r="B116" s="255" t="s">
        <v>243</v>
      </c>
      <c r="C116" s="250">
        <v>34.15</v>
      </c>
      <c r="E116" s="250">
        <v>5.6</v>
      </c>
      <c r="F116" s="250">
        <v>6</v>
      </c>
      <c r="G116" s="261">
        <f>3.8-0.16</f>
        <v>3.6399999999999997</v>
      </c>
      <c r="H116" s="305">
        <f>(E116+F116)*2*G116</f>
        <v>84.447999999999993</v>
      </c>
      <c r="I116" s="261">
        <f>SUM(P116:AK116)</f>
        <v>8.4600000000000009</v>
      </c>
      <c r="J116" s="273">
        <f>H116-I116</f>
        <v>75.988</v>
      </c>
      <c r="M116" s="259"/>
      <c r="P116" s="261">
        <f>P115*P110</f>
        <v>1.9800000000000002</v>
      </c>
      <c r="Y116" s="261">
        <f>Y115*Y110</f>
        <v>2.7</v>
      </c>
      <c r="Z116" s="261"/>
      <c r="AA116" s="261">
        <f t="shared" ref="AA116:AB116" si="10">AA115*AA110</f>
        <v>2.16</v>
      </c>
      <c r="AB116" s="261">
        <f t="shared" si="10"/>
        <v>1.62</v>
      </c>
    </row>
    <row r="117" spans="2:34" s="261" customFormat="1">
      <c r="B117" s="255"/>
      <c r="P117" s="261">
        <v>1</v>
      </c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</row>
    <row r="118" spans="2:34">
      <c r="B118" s="255" t="s">
        <v>130</v>
      </c>
      <c r="C118" s="250">
        <v>6.4429999999999996</v>
      </c>
      <c r="D118" s="252"/>
      <c r="E118" s="261">
        <v>1.79</v>
      </c>
      <c r="F118" s="261">
        <v>3.6</v>
      </c>
      <c r="G118" s="261">
        <f>3.8-0.16</f>
        <v>3.6399999999999997</v>
      </c>
      <c r="H118" s="305">
        <f>(E118+F118)*2*G118</f>
        <v>39.239200000000004</v>
      </c>
      <c r="I118" s="261">
        <f>SUM(P118:AK118)</f>
        <v>1.9800000000000002</v>
      </c>
      <c r="J118" s="273">
        <f>H118-I118</f>
        <v>37.259200000000007</v>
      </c>
      <c r="K118" s="261"/>
      <c r="L118" s="261"/>
      <c r="M118" s="261"/>
      <c r="N118" s="261"/>
      <c r="O118" s="261"/>
      <c r="P118" s="261">
        <f>P117*P110</f>
        <v>1.9800000000000002</v>
      </c>
    </row>
    <row r="119" spans="2:34" s="261" customFormat="1">
      <c r="B119" s="255"/>
      <c r="D119" s="252"/>
      <c r="E119" s="252"/>
      <c r="F119" s="252"/>
      <c r="G119" s="252"/>
      <c r="H119" s="252"/>
      <c r="I119" s="252"/>
      <c r="M119" s="259"/>
      <c r="P119" s="261">
        <v>5</v>
      </c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</row>
    <row r="120" spans="2:34">
      <c r="B120" s="255" t="s">
        <v>235</v>
      </c>
      <c r="C120" s="250">
        <v>34.347999999999999</v>
      </c>
      <c r="E120" s="261">
        <f>6.2+6.2+6+6+0.6*2-(2.29+0.4+1.45)+0.3*2</f>
        <v>22.06</v>
      </c>
      <c r="F120" s="261"/>
      <c r="G120" s="261">
        <f>3.8-0.16</f>
        <v>3.6399999999999997</v>
      </c>
      <c r="H120" s="305">
        <f>(E120+F120)*2*G120</f>
        <v>160.59679999999997</v>
      </c>
      <c r="I120" s="261">
        <f>SUM(P120:AK120)</f>
        <v>9.9</v>
      </c>
      <c r="J120" s="273">
        <f>H120-I120</f>
        <v>150.69679999999997</v>
      </c>
      <c r="M120" s="259"/>
      <c r="P120" s="250">
        <f>P119*P110</f>
        <v>9.9</v>
      </c>
    </row>
    <row r="121" spans="2:34" s="261" customFormat="1">
      <c r="B121" s="255"/>
      <c r="P121" s="261">
        <v>1</v>
      </c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</row>
    <row r="122" spans="2:34">
      <c r="B122" s="255" t="s">
        <v>244</v>
      </c>
      <c r="C122" s="250">
        <v>13.499000000000001</v>
      </c>
      <c r="E122" s="261">
        <v>1.79</v>
      </c>
      <c r="F122" s="261">
        <v>3.6</v>
      </c>
      <c r="G122" s="261">
        <f>3.8-0.16</f>
        <v>3.6399999999999997</v>
      </c>
      <c r="H122" s="305">
        <f>(E122+F122)*2*G122</f>
        <v>39.239200000000004</v>
      </c>
      <c r="I122" s="261">
        <f>SUM(P122:AK122)</f>
        <v>1.9800000000000002</v>
      </c>
      <c r="J122" s="273">
        <f>H122-I122</f>
        <v>37.259200000000007</v>
      </c>
      <c r="K122" s="261"/>
      <c r="L122" s="261"/>
      <c r="M122" s="261"/>
      <c r="N122" s="261"/>
      <c r="O122" s="261"/>
      <c r="P122" s="261">
        <f>P121*P110</f>
        <v>1.9800000000000002</v>
      </c>
    </row>
    <row r="123" spans="2:34" s="261" customFormat="1">
      <c r="B123" s="255"/>
      <c r="F123" s="259"/>
      <c r="M123" s="259"/>
      <c r="P123" s="261">
        <v>1</v>
      </c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</row>
    <row r="124" spans="2:34">
      <c r="B124" s="255" t="s">
        <v>245</v>
      </c>
      <c r="C124" s="250">
        <v>5.4160000000000004</v>
      </c>
      <c r="E124" s="261">
        <v>1.5</v>
      </c>
      <c r="F124" s="261">
        <v>3.61</v>
      </c>
      <c r="G124" s="261">
        <f>3.8-0.16</f>
        <v>3.6399999999999997</v>
      </c>
      <c r="H124" s="305">
        <f>(E124+F124)*2*G124</f>
        <v>37.200799999999994</v>
      </c>
      <c r="I124" s="261">
        <f>SUM(P124:AK124)</f>
        <v>1.9800000000000002</v>
      </c>
      <c r="J124" s="273">
        <f>H124-I124</f>
        <v>35.220799999999997</v>
      </c>
      <c r="M124" s="259"/>
      <c r="P124" s="261">
        <f>P123*P110</f>
        <v>1.9800000000000002</v>
      </c>
    </row>
    <row r="125" spans="2:34" s="261" customFormat="1">
      <c r="B125" s="255"/>
      <c r="F125" s="259"/>
      <c r="M125" s="259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</row>
    <row r="126" spans="2:34">
      <c r="B126" s="255" t="s">
        <v>246</v>
      </c>
      <c r="C126" s="250">
        <v>21.98</v>
      </c>
      <c r="F126" s="259"/>
      <c r="G126" s="259"/>
      <c r="H126" s="259"/>
      <c r="I126" s="259"/>
      <c r="M126" s="259"/>
    </row>
    <row r="127" spans="2:34">
      <c r="B127" s="255" t="s">
        <v>247</v>
      </c>
      <c r="C127" s="250">
        <v>8.3209999999999997</v>
      </c>
      <c r="M127" s="259"/>
    </row>
    <row r="128" spans="2:34">
      <c r="B128" s="257" t="s">
        <v>248</v>
      </c>
      <c r="C128" s="257">
        <f>SUM(C112:C127)</f>
        <v>234.37899999999999</v>
      </c>
      <c r="M128" s="259"/>
    </row>
    <row r="129" spans="2:28">
      <c r="F129" s="259"/>
      <c r="M129" s="260"/>
    </row>
    <row r="131" spans="2:28">
      <c r="B131" s="257" t="s">
        <v>294</v>
      </c>
    </row>
    <row r="132" spans="2:28">
      <c r="B132" s="253" t="s">
        <v>251</v>
      </c>
    </row>
    <row r="133" spans="2:28">
      <c r="B133" s="250" t="s">
        <v>252</v>
      </c>
    </row>
    <row r="134" spans="2:28">
      <c r="B134" s="250" t="s">
        <v>253</v>
      </c>
    </row>
    <row r="135" spans="2:28">
      <c r="B135" s="251" t="s">
        <v>254</v>
      </c>
      <c r="C135" s="251"/>
      <c r="D135" s="251"/>
    </row>
    <row r="136" spans="2:28">
      <c r="B136" s="250" t="s">
        <v>255</v>
      </c>
    </row>
    <row r="137" spans="2:28">
      <c r="B137" s="255"/>
      <c r="C137" s="261"/>
    </row>
    <row r="138" spans="2:28" s="261" customFormat="1">
      <c r="B138" s="25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</row>
    <row r="139" spans="2:28" s="261" customFormat="1">
      <c r="B139" s="25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</row>
    <row r="140" spans="2:28">
      <c r="B140" s="314" t="s">
        <v>300</v>
      </c>
      <c r="C140" s="261"/>
    </row>
    <row r="141" spans="2:28">
      <c r="B141" s="255"/>
      <c r="C141" s="256"/>
    </row>
    <row r="142" spans="2:28">
      <c r="B142" s="257" t="s">
        <v>301</v>
      </c>
      <c r="C142" s="256">
        <f t="shared" ref="C142:C143" si="11">G142-P142</f>
        <v>49.28</v>
      </c>
      <c r="E142" s="250">
        <v>6.4</v>
      </c>
      <c r="F142" s="250">
        <v>7.7</v>
      </c>
      <c r="G142" s="257">
        <f>E142*F142</f>
        <v>49.28</v>
      </c>
    </row>
    <row r="143" spans="2:28">
      <c r="C143" s="256">
        <f t="shared" si="11"/>
        <v>37.22</v>
      </c>
      <c r="G143" s="257">
        <v>37.22</v>
      </c>
    </row>
    <row r="144" spans="2:28">
      <c r="G144" s="257"/>
    </row>
    <row r="145" spans="2:16">
      <c r="G145" s="257"/>
    </row>
    <row r="146" spans="2:16">
      <c r="B146" s="257" t="s">
        <v>302</v>
      </c>
      <c r="C146" s="256">
        <f t="shared" ref="C146:C174" si="12">G146-P146</f>
        <v>11.13</v>
      </c>
      <c r="E146" s="250">
        <v>2.65</v>
      </c>
      <c r="F146" s="250">
        <v>4.2</v>
      </c>
      <c r="G146" s="257">
        <f>E146*F146</f>
        <v>11.13</v>
      </c>
    </row>
    <row r="147" spans="2:16">
      <c r="C147" s="256">
        <f t="shared" si="12"/>
        <v>56.21</v>
      </c>
      <c r="E147" s="250">
        <v>7.3</v>
      </c>
      <c r="F147" s="250">
        <v>7.7</v>
      </c>
      <c r="G147" s="257">
        <f t="shared" ref="G147:G148" si="13">E147*F147</f>
        <v>56.21</v>
      </c>
    </row>
    <row r="148" spans="2:16">
      <c r="C148" s="256">
        <f t="shared" si="12"/>
        <v>46.2</v>
      </c>
      <c r="E148" s="250">
        <v>6</v>
      </c>
      <c r="F148" s="250">
        <v>7.7</v>
      </c>
      <c r="G148" s="257">
        <f t="shared" si="13"/>
        <v>46.2</v>
      </c>
    </row>
    <row r="149" spans="2:16">
      <c r="C149" s="256"/>
    </row>
    <row r="150" spans="2:16">
      <c r="B150" s="315" t="s">
        <v>30</v>
      </c>
      <c r="C150" s="256"/>
      <c r="G150" s="316"/>
    </row>
    <row r="151" spans="2:16">
      <c r="C151" s="256"/>
    </row>
    <row r="152" spans="2:16">
      <c r="C152" s="256"/>
    </row>
    <row r="153" spans="2:16">
      <c r="B153" s="314" t="s">
        <v>303</v>
      </c>
      <c r="C153" s="256"/>
    </row>
    <row r="154" spans="2:16">
      <c r="C154" s="256"/>
    </row>
    <row r="155" spans="2:16">
      <c r="B155" s="257" t="s">
        <v>301</v>
      </c>
      <c r="C155" s="256">
        <f t="shared" si="12"/>
        <v>7.8000000000000007</v>
      </c>
      <c r="E155" s="250">
        <f>3.1+0.8</f>
        <v>3.9000000000000004</v>
      </c>
      <c r="F155" s="250">
        <v>2</v>
      </c>
      <c r="G155" s="257">
        <f>E155*F155</f>
        <v>7.8000000000000007</v>
      </c>
    </row>
    <row r="156" spans="2:16">
      <c r="C156" s="256"/>
      <c r="G156" s="257"/>
    </row>
    <row r="157" spans="2:16">
      <c r="B157" s="257" t="s">
        <v>302</v>
      </c>
      <c r="C157" s="256">
        <f t="shared" si="12"/>
        <v>50.11</v>
      </c>
      <c r="E157" s="250">
        <v>7.7</v>
      </c>
      <c r="F157" s="250">
        <f>6+1.3</f>
        <v>7.3</v>
      </c>
      <c r="G157" s="257">
        <f>E157*F157</f>
        <v>56.21</v>
      </c>
      <c r="I157" s="280">
        <f>2.7*1</f>
        <v>2.7</v>
      </c>
      <c r="J157" s="280">
        <f>3.4*1</f>
        <v>3.4</v>
      </c>
      <c r="P157" s="257">
        <f>SUM(I157:O157)</f>
        <v>6.1</v>
      </c>
    </row>
    <row r="158" spans="2:16">
      <c r="C158" s="256">
        <f t="shared" si="12"/>
        <v>22.799999999999997</v>
      </c>
      <c r="E158" s="250">
        <v>3.8</v>
      </c>
      <c r="F158" s="250">
        <v>6</v>
      </c>
      <c r="G158" s="257">
        <f t="shared" ref="G158:G159" si="14">E158*F158</f>
        <v>22.799999999999997</v>
      </c>
      <c r="I158" s="280"/>
      <c r="J158" s="280"/>
    </row>
    <row r="159" spans="2:16">
      <c r="C159" s="256">
        <f t="shared" si="12"/>
        <v>15.600000000000001</v>
      </c>
      <c r="E159" s="250">
        <v>4</v>
      </c>
      <c r="F159" s="250">
        <f>3.1+0.8</f>
        <v>3.9000000000000004</v>
      </c>
      <c r="G159" s="257">
        <f t="shared" si="14"/>
        <v>15.600000000000001</v>
      </c>
      <c r="I159" s="280"/>
      <c r="J159" s="280"/>
    </row>
    <row r="160" spans="2:16">
      <c r="B160" s="254" t="s">
        <v>304</v>
      </c>
      <c r="C160" s="319">
        <f t="shared" si="12"/>
        <v>37.22</v>
      </c>
      <c r="D160" s="317"/>
      <c r="E160" s="317"/>
      <c r="F160" s="317"/>
      <c r="G160" s="254">
        <v>37.22</v>
      </c>
      <c r="H160" s="317"/>
      <c r="I160" s="318"/>
      <c r="J160" s="318"/>
      <c r="K160" s="317"/>
    </row>
    <row r="161" spans="2:28">
      <c r="B161" s="255"/>
      <c r="C161" s="319">
        <f t="shared" si="12"/>
        <v>35.980000000000004</v>
      </c>
      <c r="D161" s="317"/>
      <c r="E161" s="317">
        <v>7.7</v>
      </c>
      <c r="F161" s="317">
        <v>6.6</v>
      </c>
      <c r="G161" s="254">
        <f>E161*F161</f>
        <v>50.82</v>
      </c>
      <c r="H161" s="317"/>
      <c r="I161" s="318">
        <f>2*1*3.4</f>
        <v>6.8</v>
      </c>
      <c r="J161" s="318">
        <f>2*1*2.7</f>
        <v>5.4</v>
      </c>
      <c r="K161" s="317">
        <f>2*2.2*0.6</f>
        <v>2.64</v>
      </c>
      <c r="P161" s="254">
        <f>SUM(I161:O161)</f>
        <v>14.84</v>
      </c>
    </row>
    <row r="162" spans="2:28">
      <c r="B162" s="255"/>
      <c r="C162" s="256"/>
      <c r="G162" s="257"/>
    </row>
    <row r="163" spans="2:28" s="261" customFormat="1">
      <c r="B163" s="314" t="s">
        <v>305</v>
      </c>
      <c r="C163" s="256"/>
      <c r="G163" s="257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</row>
    <row r="164" spans="2:28" s="261" customFormat="1">
      <c r="B164" s="255"/>
      <c r="C164" s="256"/>
      <c r="G164" s="257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</row>
    <row r="165" spans="2:28" s="261" customFormat="1">
      <c r="B165" s="254" t="s">
        <v>304</v>
      </c>
      <c r="C165" s="319">
        <f t="shared" si="12"/>
        <v>19.490000000000006</v>
      </c>
      <c r="E165" s="317">
        <v>13.05</v>
      </c>
      <c r="F165" s="317">
        <v>3.8</v>
      </c>
      <c r="G165" s="254">
        <f>E165*F165</f>
        <v>49.59</v>
      </c>
      <c r="H165" s="317"/>
      <c r="I165" s="317">
        <f>1*3.4</f>
        <v>3.4</v>
      </c>
      <c r="J165" s="317">
        <f>3.4*3.5*2</f>
        <v>23.8</v>
      </c>
      <c r="K165" s="317">
        <f>0.4*1.9*2</f>
        <v>1.52</v>
      </c>
      <c r="L165" s="317">
        <f>0.6*2.3</f>
        <v>1.38</v>
      </c>
      <c r="P165" s="254">
        <f>SUM(I165:O165)</f>
        <v>30.099999999999998</v>
      </c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</row>
    <row r="166" spans="2:28" s="261" customFormat="1">
      <c r="B166" s="255"/>
      <c r="C166" s="256"/>
      <c r="G166" s="257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</row>
    <row r="167" spans="2:28" s="261" customFormat="1">
      <c r="B167" s="255"/>
      <c r="C167" s="256"/>
      <c r="G167" s="257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</row>
    <row r="168" spans="2:28" s="261" customFormat="1">
      <c r="B168" s="257" t="s">
        <v>306</v>
      </c>
      <c r="C168" s="256">
        <f t="shared" si="12"/>
        <v>75.465000000000003</v>
      </c>
      <c r="E168" s="261">
        <v>7.7</v>
      </c>
      <c r="F168" s="261">
        <v>13.05</v>
      </c>
      <c r="G168" s="257">
        <f>E168*F168</f>
        <v>100.48500000000001</v>
      </c>
      <c r="I168" s="261">
        <f>3.4*1.3</f>
        <v>4.42</v>
      </c>
      <c r="J168" s="261">
        <f>0.6*3.4*2</f>
        <v>4.08</v>
      </c>
      <c r="K168" s="261">
        <f>1*3.4*2</f>
        <v>6.8</v>
      </c>
      <c r="L168" s="261">
        <f>0.6*2.7</f>
        <v>1.62</v>
      </c>
      <c r="M168" s="261">
        <f>1*2.7</f>
        <v>2.7</v>
      </c>
      <c r="N168" s="261">
        <f>2*2.7</f>
        <v>5.4</v>
      </c>
      <c r="P168" s="257">
        <f>SUM(I168:O168)</f>
        <v>25.020000000000003</v>
      </c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</row>
    <row r="169" spans="2:28" s="261" customFormat="1">
      <c r="B169" s="255"/>
      <c r="C169" s="256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</row>
    <row r="170" spans="2:28" s="261" customFormat="1">
      <c r="B170" s="314" t="s">
        <v>307</v>
      </c>
      <c r="C170" s="256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</row>
    <row r="171" spans="2:28" s="261" customFormat="1">
      <c r="B171" s="255"/>
      <c r="C171" s="256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</row>
    <row r="172" spans="2:28" s="261" customFormat="1">
      <c r="B172" s="254" t="s">
        <v>304</v>
      </c>
      <c r="C172" s="319">
        <f t="shared" si="12"/>
        <v>18.72</v>
      </c>
      <c r="E172" s="317">
        <v>6.3</v>
      </c>
      <c r="F172" s="317">
        <v>3.8</v>
      </c>
      <c r="G172" s="254">
        <f>E172*F172</f>
        <v>23.939999999999998</v>
      </c>
      <c r="H172" s="317"/>
      <c r="I172" s="317">
        <f>2.9*1.8</f>
        <v>5.22</v>
      </c>
      <c r="J172" s="317"/>
      <c r="K172" s="317"/>
      <c r="L172" s="317"/>
      <c r="M172" s="317"/>
      <c r="N172" s="317"/>
      <c r="O172" s="317"/>
      <c r="P172" s="254">
        <f>SUM(I172:O172)</f>
        <v>5.22</v>
      </c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</row>
    <row r="173" spans="2:28" s="261" customFormat="1">
      <c r="B173" s="255"/>
      <c r="C173" s="319">
        <f t="shared" si="12"/>
        <v>16.25</v>
      </c>
      <c r="E173" s="317">
        <v>6.5</v>
      </c>
      <c r="F173" s="317">
        <v>2.5</v>
      </c>
      <c r="G173" s="254">
        <f t="shared" ref="G173:G174" si="15">E173*F173</f>
        <v>16.25</v>
      </c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</row>
    <row r="174" spans="2:28" s="261" customFormat="1">
      <c r="B174" s="255"/>
      <c r="C174" s="319">
        <f t="shared" si="12"/>
        <v>2.25</v>
      </c>
      <c r="E174" s="317">
        <v>0.5</v>
      </c>
      <c r="F174" s="317">
        <v>4.5</v>
      </c>
      <c r="G174" s="254">
        <f t="shared" si="15"/>
        <v>2.25</v>
      </c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</row>
    <row r="175" spans="2:28" s="261" customFormat="1">
      <c r="B175" s="255"/>
      <c r="C175" s="256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</row>
    <row r="176" spans="2:28" s="261" customFormat="1">
      <c r="B176" s="255"/>
      <c r="C176" s="256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</row>
    <row r="177" spans="2:28" s="261" customFormat="1">
      <c r="B177" s="257" t="s">
        <v>306</v>
      </c>
      <c r="C177" s="256">
        <f>G177-P177</f>
        <v>29.91</v>
      </c>
      <c r="E177" s="261">
        <v>3.9</v>
      </c>
      <c r="F177" s="261">
        <v>13.5</v>
      </c>
      <c r="G177" s="257">
        <f>E177*F177</f>
        <v>52.65</v>
      </c>
      <c r="I177" s="261">
        <f>1*2.7*2</f>
        <v>5.4</v>
      </c>
      <c r="J177" s="261">
        <f>2*2.7</f>
        <v>5.4</v>
      </c>
      <c r="K177" s="261">
        <f>0.8*2.7</f>
        <v>2.16</v>
      </c>
      <c r="L177" s="261">
        <f>0.6*2.7</f>
        <v>1.62</v>
      </c>
      <c r="M177" s="261">
        <f>1*3.4</f>
        <v>3.4</v>
      </c>
      <c r="N177" s="261">
        <f>0.6*3.4</f>
        <v>2.04</v>
      </c>
      <c r="O177" s="261">
        <f>0.8*3.4</f>
        <v>2.72</v>
      </c>
      <c r="P177" s="257">
        <f>SUM(I177:O177)</f>
        <v>22.74</v>
      </c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</row>
    <row r="178" spans="2:28" s="261" customFormat="1" ht="14" thickBot="1">
      <c r="B178" s="255"/>
      <c r="C178" s="256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</row>
    <row r="179" spans="2:28" s="261" customFormat="1">
      <c r="B179" s="349" t="s">
        <v>308</v>
      </c>
      <c r="C179" s="350">
        <f>C142+C143+C146+C147+C148+C155+C157+C158+C159+C168+C177</f>
        <v>401.72500000000008</v>
      </c>
      <c r="D179" s="351"/>
      <c r="E179" s="351"/>
      <c r="F179" s="351"/>
      <c r="G179" s="352">
        <f>G142+G143+G146+G147+G148+G155+G157+G158+G159+G168+G177</f>
        <v>455.58500000000004</v>
      </c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</row>
    <row r="180" spans="2:28" s="261" customFormat="1">
      <c r="B180" s="353" t="s">
        <v>309</v>
      </c>
      <c r="C180" s="320">
        <f>+C174+C173+C172+C165+C160+C161</f>
        <v>129.91000000000003</v>
      </c>
      <c r="D180" s="283"/>
      <c r="E180" s="283"/>
      <c r="F180" s="283"/>
      <c r="G180" s="354">
        <f>+G174+G173+G172+G165+G160+G161</f>
        <v>180.07</v>
      </c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</row>
    <row r="181" spans="2:28" s="261" customFormat="1">
      <c r="B181" s="355"/>
      <c r="C181" s="256"/>
      <c r="D181" s="283"/>
      <c r="E181" s="283"/>
      <c r="F181" s="283"/>
      <c r="G181" s="356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</row>
    <row r="182" spans="2:28" s="283" customFormat="1">
      <c r="B182" s="355"/>
      <c r="C182" s="256"/>
      <c r="G182" s="356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</row>
    <row r="183" spans="2:28" s="283" customFormat="1">
      <c r="B183" s="357" t="s">
        <v>316</v>
      </c>
      <c r="C183" s="256"/>
      <c r="G183" s="362">
        <f>C127+C126+C104</f>
        <v>39.701000000000001</v>
      </c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</row>
    <row r="184" spans="2:28" s="283" customFormat="1">
      <c r="B184" s="355"/>
      <c r="C184" s="256"/>
      <c r="G184" s="356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</row>
    <row r="185" spans="2:28" s="283" customFormat="1" ht="14" thickBot="1">
      <c r="B185" s="358"/>
      <c r="C185" s="359"/>
      <c r="D185" s="360"/>
      <c r="E185" s="360"/>
      <c r="F185" s="360"/>
      <c r="G185" s="361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</row>
    <row r="186" spans="2:28" s="283" customFormat="1">
      <c r="B186" s="255"/>
      <c r="C186" s="256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</row>
    <row r="187" spans="2:28">
      <c r="B187" s="255"/>
      <c r="C187" s="256"/>
    </row>
    <row r="188" spans="2:28">
      <c r="B188" s="255"/>
      <c r="C188" s="256"/>
    </row>
    <row r="189" spans="2:28" ht="35.25" customHeight="1">
      <c r="B189" s="255"/>
      <c r="C189" s="271" t="s">
        <v>126</v>
      </c>
      <c r="D189" s="239" t="s">
        <v>278</v>
      </c>
      <c r="E189" s="239" t="s">
        <v>279</v>
      </c>
      <c r="F189" s="239"/>
      <c r="G189" s="249" t="s">
        <v>275</v>
      </c>
      <c r="H189" s="249"/>
      <c r="I189" s="249" t="s">
        <v>276</v>
      </c>
    </row>
    <row r="190" spans="2:28">
      <c r="B190" s="255"/>
      <c r="C190" s="239" t="s">
        <v>3</v>
      </c>
      <c r="D190" s="239" t="s">
        <v>228</v>
      </c>
      <c r="E190" s="239" t="s">
        <v>99</v>
      </c>
      <c r="F190" s="239"/>
      <c r="G190" s="239" t="s">
        <v>231</v>
      </c>
      <c r="H190" s="239"/>
      <c r="I190" s="239" t="s">
        <v>277</v>
      </c>
    </row>
    <row r="191" spans="2:28">
      <c r="B191" s="257" t="s">
        <v>270</v>
      </c>
    </row>
    <row r="192" spans="2:28">
      <c r="B192" s="250" t="s">
        <v>213</v>
      </c>
      <c r="C192" s="250">
        <v>1</v>
      </c>
      <c r="D192" s="250">
        <v>2.9</v>
      </c>
      <c r="E192" s="250">
        <v>2.6</v>
      </c>
      <c r="G192" s="250">
        <f>D192*E192</f>
        <v>7.54</v>
      </c>
      <c r="I192" s="250">
        <f>G192*C192</f>
        <v>7.54</v>
      </c>
    </row>
    <row r="193" spans="2:9">
      <c r="B193" s="250" t="s">
        <v>225</v>
      </c>
      <c r="C193" s="250">
        <v>1</v>
      </c>
      <c r="D193" s="250">
        <v>3.4</v>
      </c>
      <c r="E193" s="250">
        <v>1.8</v>
      </c>
      <c r="G193" s="250">
        <f t="shared" ref="G193:G196" si="16">D193*E193</f>
        <v>6.12</v>
      </c>
      <c r="I193" s="250">
        <f t="shared" ref="I193:I196" si="17">G193*C193</f>
        <v>6.12</v>
      </c>
    </row>
    <row r="194" spans="2:9">
      <c r="B194" s="250" t="s">
        <v>266</v>
      </c>
      <c r="C194" s="257">
        <v>1</v>
      </c>
      <c r="D194" s="257">
        <v>3.4</v>
      </c>
      <c r="E194" s="250">
        <v>1.8</v>
      </c>
      <c r="G194" s="250">
        <f t="shared" si="16"/>
        <v>6.12</v>
      </c>
      <c r="I194" s="250">
        <f t="shared" si="17"/>
        <v>6.12</v>
      </c>
    </row>
    <row r="195" spans="2:9">
      <c r="B195" s="250" t="s">
        <v>226</v>
      </c>
      <c r="C195" s="257">
        <v>1</v>
      </c>
      <c r="D195" s="257">
        <v>3.4</v>
      </c>
      <c r="E195" s="250">
        <v>0.6</v>
      </c>
      <c r="G195" s="250">
        <f t="shared" si="16"/>
        <v>2.04</v>
      </c>
      <c r="I195" s="250">
        <f t="shared" si="17"/>
        <v>2.04</v>
      </c>
    </row>
    <row r="196" spans="2:9">
      <c r="B196" s="250" t="s">
        <v>227</v>
      </c>
      <c r="C196" s="250">
        <v>1</v>
      </c>
      <c r="D196" s="250">
        <v>2.7</v>
      </c>
      <c r="E196" s="250">
        <v>1.8</v>
      </c>
      <c r="G196" s="250">
        <f t="shared" si="16"/>
        <v>4.8600000000000003</v>
      </c>
      <c r="I196" s="250">
        <f t="shared" si="17"/>
        <v>4.8600000000000003</v>
      </c>
    </row>
    <row r="197" spans="2:9">
      <c r="B197" s="272" t="s">
        <v>30</v>
      </c>
      <c r="C197" s="262"/>
      <c r="I197" s="272">
        <f>SUM(I192:I196)</f>
        <v>26.68</v>
      </c>
    </row>
    <row r="198" spans="2:9">
      <c r="B198" s="255"/>
      <c r="C198" s="262"/>
    </row>
    <row r="199" spans="2:9">
      <c r="B199" s="257" t="s">
        <v>271</v>
      </c>
      <c r="C199" s="256"/>
    </row>
    <row r="200" spans="2:9">
      <c r="B200" s="250" t="s">
        <v>217</v>
      </c>
      <c r="C200" s="256">
        <v>3</v>
      </c>
      <c r="D200" s="250">
        <v>3.4</v>
      </c>
      <c r="E200" s="250">
        <v>1</v>
      </c>
      <c r="G200" s="250">
        <f t="shared" ref="G200" si="18">D200*E200</f>
        <v>3.4</v>
      </c>
      <c r="I200" s="250">
        <f t="shared" ref="I200" si="19">G200*C200</f>
        <v>10.199999999999999</v>
      </c>
    </row>
    <row r="201" spans="2:9">
      <c r="B201" s="250" t="s">
        <v>218</v>
      </c>
      <c r="C201" s="256">
        <v>1</v>
      </c>
      <c r="D201" s="250">
        <v>3.4</v>
      </c>
      <c r="E201" s="250">
        <v>0.8</v>
      </c>
      <c r="G201" s="250">
        <f t="shared" ref="G201:G210" si="20">D201*E201</f>
        <v>2.72</v>
      </c>
      <c r="I201" s="250">
        <f t="shared" ref="I201:I210" si="21">G201*C201</f>
        <v>2.72</v>
      </c>
    </row>
    <row r="202" spans="2:9">
      <c r="B202" s="250" t="s">
        <v>219</v>
      </c>
      <c r="C202" s="256">
        <v>1</v>
      </c>
      <c r="D202" s="250">
        <v>3.4</v>
      </c>
      <c r="E202" s="250">
        <v>0.6</v>
      </c>
      <c r="G202" s="250">
        <f t="shared" si="20"/>
        <v>2.04</v>
      </c>
      <c r="I202" s="250">
        <f t="shared" si="21"/>
        <v>2.04</v>
      </c>
    </row>
    <row r="203" spans="2:9">
      <c r="B203" s="250" t="s">
        <v>220</v>
      </c>
      <c r="C203" s="256">
        <v>4</v>
      </c>
      <c r="D203" s="250">
        <v>2.7</v>
      </c>
      <c r="E203" s="250">
        <v>1</v>
      </c>
      <c r="G203" s="250">
        <f t="shared" si="20"/>
        <v>2.7</v>
      </c>
      <c r="I203" s="250">
        <f t="shared" si="21"/>
        <v>10.8</v>
      </c>
    </row>
    <row r="204" spans="2:9">
      <c r="B204" s="250" t="s">
        <v>221</v>
      </c>
      <c r="C204" s="256">
        <v>1</v>
      </c>
      <c r="D204" s="250">
        <v>2.7</v>
      </c>
      <c r="E204" s="250">
        <v>2</v>
      </c>
      <c r="G204" s="250">
        <f t="shared" si="20"/>
        <v>5.4</v>
      </c>
      <c r="I204" s="250">
        <f t="shared" si="21"/>
        <v>5.4</v>
      </c>
    </row>
    <row r="205" spans="2:9">
      <c r="B205" s="250" t="s">
        <v>222</v>
      </c>
      <c r="C205" s="262">
        <v>2</v>
      </c>
      <c r="D205" s="250">
        <v>2.7</v>
      </c>
      <c r="E205" s="250">
        <v>0.8</v>
      </c>
      <c r="G205" s="250">
        <f t="shared" si="20"/>
        <v>2.16</v>
      </c>
      <c r="I205" s="250">
        <f t="shared" si="21"/>
        <v>4.32</v>
      </c>
    </row>
    <row r="206" spans="2:9">
      <c r="B206" s="250" t="s">
        <v>223</v>
      </c>
      <c r="C206" s="250">
        <v>1</v>
      </c>
      <c r="D206" s="250">
        <v>2.7</v>
      </c>
      <c r="E206" s="250">
        <v>0.6</v>
      </c>
      <c r="G206" s="250">
        <f t="shared" si="20"/>
        <v>1.62</v>
      </c>
      <c r="I206" s="250">
        <f t="shared" si="21"/>
        <v>1.62</v>
      </c>
    </row>
    <row r="207" spans="2:9">
      <c r="B207" s="250" t="s">
        <v>224</v>
      </c>
      <c r="C207" s="250">
        <v>1</v>
      </c>
      <c r="D207" s="250">
        <v>2.7</v>
      </c>
      <c r="E207" s="250">
        <v>2.5</v>
      </c>
      <c r="G207" s="250">
        <f t="shared" si="20"/>
        <v>6.75</v>
      </c>
      <c r="I207" s="250">
        <f t="shared" si="21"/>
        <v>6.75</v>
      </c>
    </row>
    <row r="208" spans="2:9">
      <c r="B208" s="250" t="s">
        <v>267</v>
      </c>
      <c r="C208" s="250">
        <v>1</v>
      </c>
      <c r="D208" s="250">
        <v>2.2999999999999998</v>
      </c>
      <c r="E208" s="250">
        <v>0.6</v>
      </c>
      <c r="G208" s="250">
        <f t="shared" si="20"/>
        <v>1.38</v>
      </c>
      <c r="I208" s="250">
        <f t="shared" si="21"/>
        <v>1.38</v>
      </c>
    </row>
    <row r="209" spans="2:19">
      <c r="B209" s="250" t="s">
        <v>268</v>
      </c>
      <c r="C209" s="250">
        <v>2</v>
      </c>
      <c r="D209" s="250">
        <v>1.9</v>
      </c>
      <c r="E209" s="250">
        <v>0.4</v>
      </c>
      <c r="G209" s="250">
        <f t="shared" si="20"/>
        <v>0.76</v>
      </c>
      <c r="I209" s="250">
        <f t="shared" si="21"/>
        <v>1.52</v>
      </c>
    </row>
    <row r="210" spans="2:19">
      <c r="B210" s="250" t="s">
        <v>269</v>
      </c>
      <c r="C210" s="250">
        <v>2</v>
      </c>
      <c r="D210" s="250">
        <v>2.2000000000000002</v>
      </c>
      <c r="E210" s="250">
        <v>0.6</v>
      </c>
      <c r="G210" s="250">
        <f t="shared" si="20"/>
        <v>1.32</v>
      </c>
      <c r="I210" s="250">
        <f t="shared" si="21"/>
        <v>2.64</v>
      </c>
    </row>
    <row r="211" spans="2:19">
      <c r="B211" s="272" t="s">
        <v>30</v>
      </c>
      <c r="C211" s="262"/>
      <c r="I211" s="272">
        <f>SUM(I200:I210)</f>
        <v>49.390000000000008</v>
      </c>
    </row>
    <row r="212" spans="2:19">
      <c r="B212" s="255"/>
      <c r="C212" s="262"/>
    </row>
    <row r="213" spans="2:19">
      <c r="B213" s="257" t="s">
        <v>272</v>
      </c>
      <c r="C213" s="256"/>
    </row>
    <row r="214" spans="2:19">
      <c r="B214" s="250" t="s">
        <v>214</v>
      </c>
      <c r="C214" s="256">
        <v>1</v>
      </c>
      <c r="D214" s="250">
        <v>3.4</v>
      </c>
      <c r="E214" s="250">
        <v>1</v>
      </c>
      <c r="G214" s="250">
        <f t="shared" ref="G214" si="22">D214*E214</f>
        <v>3.4</v>
      </c>
      <c r="I214" s="250">
        <f t="shared" ref="I214" si="23">G214*C214</f>
        <v>3.4</v>
      </c>
    </row>
    <row r="215" spans="2:19">
      <c r="B215" s="250" t="s">
        <v>273</v>
      </c>
      <c r="C215" s="256">
        <v>1</v>
      </c>
      <c r="D215" s="250">
        <v>2.7</v>
      </c>
      <c r="E215" s="250">
        <v>1</v>
      </c>
      <c r="G215" s="250">
        <f t="shared" ref="G215" si="24">D215*E215</f>
        <v>2.7</v>
      </c>
      <c r="I215" s="250">
        <f t="shared" ref="I215" si="25">G215*C215</f>
        <v>2.7</v>
      </c>
    </row>
    <row r="216" spans="2:19">
      <c r="C216" s="256"/>
    </row>
    <row r="217" spans="2:19">
      <c r="B217" s="272" t="s">
        <v>30</v>
      </c>
      <c r="C217" s="262"/>
      <c r="I217" s="272">
        <f>SUM(I214:I216)</f>
        <v>6.1</v>
      </c>
    </row>
    <row r="218" spans="2:19">
      <c r="B218" s="255"/>
      <c r="Q218" s="250"/>
      <c r="R218" s="250"/>
      <c r="S218" s="250"/>
    </row>
    <row r="219" spans="2:19">
      <c r="B219" s="257" t="s">
        <v>274</v>
      </c>
    </row>
    <row r="220" spans="2:19">
      <c r="B220" s="250" t="s">
        <v>128</v>
      </c>
      <c r="C220" s="256">
        <v>1</v>
      </c>
      <c r="D220" s="250">
        <v>3.4</v>
      </c>
      <c r="E220" s="250">
        <v>1.8</v>
      </c>
      <c r="G220" s="250">
        <f t="shared" ref="G220" si="26">D220*E220</f>
        <v>6.12</v>
      </c>
      <c r="I220" s="250">
        <f t="shared" ref="I220" si="27">G220*C220</f>
        <v>6.12</v>
      </c>
    </row>
    <row r="221" spans="2:19">
      <c r="B221" s="250" t="s">
        <v>215</v>
      </c>
      <c r="C221" s="256">
        <v>1</v>
      </c>
      <c r="D221" s="250">
        <v>3.4</v>
      </c>
      <c r="E221" s="250">
        <v>1</v>
      </c>
      <c r="G221" s="250">
        <f t="shared" ref="G221" si="28">D221*E221</f>
        <v>3.4</v>
      </c>
      <c r="I221" s="250">
        <f t="shared" ref="I221" si="29">G221*C221</f>
        <v>3.4</v>
      </c>
    </row>
    <row r="222" spans="2:19">
      <c r="B222" s="272" t="s">
        <v>30</v>
      </c>
      <c r="C222" s="262"/>
      <c r="I222" s="272">
        <f>I221+I220</f>
        <v>9.52</v>
      </c>
    </row>
    <row r="223" spans="2:19">
      <c r="B223" s="255"/>
      <c r="C223" s="262"/>
    </row>
    <row r="224" spans="2:19">
      <c r="B224" s="255"/>
      <c r="C224" s="256"/>
    </row>
    <row r="225" spans="2:28">
      <c r="B225" s="257" t="s">
        <v>283</v>
      </c>
      <c r="C225" s="256"/>
    </row>
    <row r="226" spans="2:28">
      <c r="B226" s="239" t="s">
        <v>216</v>
      </c>
      <c r="C226" s="271">
        <v>2</v>
      </c>
      <c r="D226" s="278">
        <f>3.4*1</f>
        <v>3.4</v>
      </c>
      <c r="E226" s="239">
        <v>3.5</v>
      </c>
      <c r="F226" s="239"/>
      <c r="G226" s="239">
        <f>D226*E226</f>
        <v>11.9</v>
      </c>
      <c r="H226" s="239"/>
      <c r="I226" s="267">
        <f>G226*C226</f>
        <v>23.8</v>
      </c>
    </row>
    <row r="227" spans="2:28">
      <c r="B227" s="255"/>
      <c r="C227" s="256"/>
    </row>
    <row r="228" spans="2:28">
      <c r="B228" s="255"/>
      <c r="C228" s="256"/>
    </row>
    <row r="229" spans="2:28" s="261" customFormat="1">
      <c r="B229" s="264" t="s">
        <v>311</v>
      </c>
      <c r="C229" s="321">
        <f>SUM(D229:G229)</f>
        <v>18.7</v>
      </c>
      <c r="D229" s="261">
        <f>3.8*4</f>
        <v>15.2</v>
      </c>
      <c r="E229" s="261">
        <f>0.5*4</f>
        <v>2</v>
      </c>
      <c r="F229" s="261">
        <v>1.5</v>
      </c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</row>
    <row r="230" spans="2:28" s="261" customFormat="1">
      <c r="B230" s="255"/>
      <c r="C230" s="256"/>
      <c r="Q230" s="275"/>
      <c r="R230" s="275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</row>
    <row r="231" spans="2:28" s="261" customFormat="1">
      <c r="B231" s="255"/>
      <c r="C231" s="256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</row>
    <row r="232" spans="2:28" s="261" customFormat="1">
      <c r="B232" s="255"/>
      <c r="C232" s="256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</row>
    <row r="233" spans="2:28" s="261" customFormat="1">
      <c r="B233" s="264" t="s">
        <v>312</v>
      </c>
      <c r="C233" s="321">
        <f>SUM(D233:G233)</f>
        <v>25</v>
      </c>
      <c r="D233" s="261">
        <f>6+1</f>
        <v>7</v>
      </c>
      <c r="E233" s="261">
        <v>8</v>
      </c>
      <c r="F233" s="261">
        <f>4+1</f>
        <v>5</v>
      </c>
      <c r="G233" s="261">
        <v>5</v>
      </c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</row>
    <row r="234" spans="2:28" s="261" customFormat="1">
      <c r="B234" s="255"/>
      <c r="C234" s="256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</row>
    <row r="235" spans="2:28" s="261" customFormat="1">
      <c r="B235" s="255"/>
      <c r="C235" s="256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</row>
    <row r="236" spans="2:28" s="261" customFormat="1">
      <c r="B236" s="255"/>
      <c r="C236" s="256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</row>
    <row r="237" spans="2:28" s="261" customFormat="1">
      <c r="B237" s="255"/>
      <c r="C237" s="256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</row>
    <row r="238" spans="2:28">
      <c r="B238" s="264" t="s">
        <v>293</v>
      </c>
      <c r="C238" s="256"/>
    </row>
    <row r="239" spans="2:28">
      <c r="B239" s="255"/>
      <c r="C239" s="256"/>
    </row>
    <row r="240" spans="2:28" s="261" customFormat="1" ht="28">
      <c r="B240" s="304" t="s">
        <v>237</v>
      </c>
      <c r="C240" s="267">
        <v>96.59</v>
      </c>
      <c r="Q240" s="275"/>
      <c r="R240" s="275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</row>
    <row r="241" spans="2:4">
      <c r="B241" s="255"/>
    </row>
    <row r="244" spans="2:4">
      <c r="B244" s="251"/>
      <c r="C244" s="251"/>
      <c r="D244" s="251"/>
    </row>
    <row r="245" spans="2:4">
      <c r="B245" s="257"/>
      <c r="C245" s="257"/>
      <c r="D245" s="257"/>
    </row>
    <row r="246" spans="2:4">
      <c r="B246" s="264"/>
      <c r="C246" s="265"/>
      <c r="D246" s="257"/>
    </row>
    <row r="247" spans="2:4">
      <c r="B247" s="264"/>
      <c r="C247" s="265"/>
      <c r="D247" s="257"/>
    </row>
    <row r="248" spans="2:4">
      <c r="B248" s="264"/>
      <c r="C248" s="266"/>
      <c r="D248" s="257"/>
    </row>
    <row r="249" spans="2:4">
      <c r="B249" s="264"/>
      <c r="C249" s="266"/>
      <c r="D249" s="257"/>
    </row>
    <row r="250" spans="2:4">
      <c r="B250" s="264"/>
      <c r="C250" s="266"/>
      <c r="D250" s="257"/>
    </row>
    <row r="251" spans="2:4">
      <c r="B251" s="264"/>
      <c r="C251" s="266"/>
      <c r="D251" s="257"/>
    </row>
    <row r="252" spans="2:4">
      <c r="B252" s="264"/>
      <c r="C252" s="266"/>
      <c r="D252" s="257"/>
    </row>
    <row r="253" spans="2:4">
      <c r="B253" s="264"/>
      <c r="C253" s="266"/>
      <c r="D253" s="257"/>
    </row>
    <row r="254" spans="2:4">
      <c r="B254" s="264"/>
      <c r="C254" s="265"/>
      <c r="D254" s="257"/>
    </row>
    <row r="255" spans="2:4">
      <c r="B255" s="264"/>
      <c r="C255" s="257"/>
      <c r="D255" s="257"/>
    </row>
  </sheetData>
  <mergeCells count="15">
    <mergeCell ref="D92:D96"/>
    <mergeCell ref="Q108:AH108"/>
    <mergeCell ref="AI108:AK108"/>
    <mergeCell ref="AI3:AK3"/>
    <mergeCell ref="Q3:AH3"/>
    <mergeCell ref="E4:I4"/>
    <mergeCell ref="J4:N4"/>
    <mergeCell ref="E83:I83"/>
    <mergeCell ref="J83:N83"/>
    <mergeCell ref="J20:J21"/>
    <mergeCell ref="K20:K21"/>
    <mergeCell ref="E22:I22"/>
    <mergeCell ref="K22:L22"/>
    <mergeCell ref="Q79:AH79"/>
    <mergeCell ref="AI79:AK7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6:F89"/>
  <sheetViews>
    <sheetView workbookViewId="0">
      <selection activeCell="C35" sqref="C35"/>
    </sheetView>
  </sheetViews>
  <sheetFormatPr baseColWidth="10" defaultColWidth="8.83203125" defaultRowHeight="15"/>
  <cols>
    <col min="3" max="3" width="54.1640625" customWidth="1"/>
    <col min="4" max="4" width="28.6640625" customWidth="1"/>
    <col min="5" max="5" width="9.5" style="2" customWidth="1"/>
    <col min="6" max="6" width="9.1640625" style="2"/>
  </cols>
  <sheetData>
    <row r="6" spans="3:6">
      <c r="C6" t="s">
        <v>358</v>
      </c>
      <c r="E6" s="2" t="s">
        <v>21</v>
      </c>
      <c r="F6" s="2">
        <v>4</v>
      </c>
    </row>
    <row r="7" spans="3:6">
      <c r="C7" t="s">
        <v>359</v>
      </c>
      <c r="E7" s="2" t="s">
        <v>21</v>
      </c>
      <c r="F7" s="2">
        <v>2</v>
      </c>
    </row>
    <row r="8" spans="3:6">
      <c r="C8" t="s">
        <v>360</v>
      </c>
      <c r="E8" s="2" t="s">
        <v>21</v>
      </c>
      <c r="F8" s="2">
        <v>3</v>
      </c>
    </row>
    <row r="10" spans="3:6">
      <c r="C10" t="s">
        <v>361</v>
      </c>
      <c r="E10" s="2" t="s">
        <v>20</v>
      </c>
      <c r="F10" s="2">
        <f>(3.8+3.8+0.2+0.3)+13.8</f>
        <v>21.9</v>
      </c>
    </row>
    <row r="11" spans="3:6">
      <c r="C11" t="s">
        <v>362</v>
      </c>
      <c r="E11" s="2" t="s">
        <v>20</v>
      </c>
      <c r="F11" s="2">
        <f>(3.8+0.2+(0.9+2.5))+(1.5+3+7)*2</f>
        <v>30.4</v>
      </c>
    </row>
    <row r="13" spans="3:6">
      <c r="C13" t="s">
        <v>363</v>
      </c>
      <c r="E13" s="2" t="s">
        <v>21</v>
      </c>
      <c r="F13" s="2">
        <v>1</v>
      </c>
    </row>
    <row r="14" spans="3:6">
      <c r="C14" t="s">
        <v>364</v>
      </c>
      <c r="E14" s="2" t="s">
        <v>21</v>
      </c>
      <c r="F14" s="2">
        <v>4</v>
      </c>
    </row>
    <row r="15" spans="3:6">
      <c r="C15" t="s">
        <v>365</v>
      </c>
      <c r="E15" s="2" t="s">
        <v>21</v>
      </c>
      <c r="F15" s="2">
        <f>4*2+3</f>
        <v>11</v>
      </c>
    </row>
    <row r="18" spans="3:6">
      <c r="C18" t="s">
        <v>368</v>
      </c>
    </row>
    <row r="19" spans="3:6">
      <c r="C19" t="s">
        <v>369</v>
      </c>
    </row>
    <row r="20" spans="3:6">
      <c r="C20" t="s">
        <v>361</v>
      </c>
      <c r="E20" s="2" t="s">
        <v>20</v>
      </c>
      <c r="F20" s="2">
        <v>29</v>
      </c>
    </row>
    <row r="23" spans="3:6">
      <c r="C23" t="s">
        <v>366</v>
      </c>
    </row>
    <row r="25" spans="3:6">
      <c r="C25" t="s">
        <v>367</v>
      </c>
      <c r="E25" s="2" t="s">
        <v>20</v>
      </c>
      <c r="F25" s="2">
        <f>8+3.8+0.2+14+2+(1.5+2.5)*3</f>
        <v>40</v>
      </c>
    </row>
    <row r="26" spans="3:6">
      <c r="C26" t="s">
        <v>370</v>
      </c>
      <c r="E26" s="2" t="s">
        <v>20</v>
      </c>
      <c r="F26" s="2">
        <f>4+3+7*2</f>
        <v>21</v>
      </c>
    </row>
    <row r="27" spans="3:6">
      <c r="C27" t="s">
        <v>371</v>
      </c>
      <c r="F27" s="2">
        <v>3</v>
      </c>
    </row>
    <row r="28" spans="3:6">
      <c r="C28" t="s">
        <v>372</v>
      </c>
      <c r="F28" s="2">
        <f>3+3</f>
        <v>6</v>
      </c>
    </row>
    <row r="29" spans="3:6">
      <c r="C29" t="s">
        <v>373</v>
      </c>
      <c r="F29" s="2">
        <f>1+3</f>
        <v>4</v>
      </c>
    </row>
    <row r="31" spans="3:6">
      <c r="C31" t="s">
        <v>375</v>
      </c>
      <c r="F31" s="2">
        <v>1</v>
      </c>
    </row>
    <row r="32" spans="3:6">
      <c r="C32" t="s">
        <v>374</v>
      </c>
      <c r="F32" s="2">
        <v>5</v>
      </c>
    </row>
    <row r="34" spans="2:6">
      <c r="C34" t="s">
        <v>376</v>
      </c>
      <c r="F34" s="2">
        <v>1</v>
      </c>
    </row>
    <row r="35" spans="2:6">
      <c r="C35" t="s">
        <v>377</v>
      </c>
      <c r="F35" s="2">
        <v>1</v>
      </c>
    </row>
    <row r="37" spans="2:6">
      <c r="C37" t="s">
        <v>378</v>
      </c>
    </row>
    <row r="38" spans="2:6">
      <c r="C38" t="s">
        <v>367</v>
      </c>
      <c r="E38" s="2" t="s">
        <v>20</v>
      </c>
      <c r="F38" s="2">
        <v>29</v>
      </c>
    </row>
    <row r="39" spans="2:6">
      <c r="C39" t="s">
        <v>379</v>
      </c>
      <c r="E39" s="2" t="s">
        <v>21</v>
      </c>
      <c r="F39" s="2">
        <v>1</v>
      </c>
    </row>
    <row r="44" spans="2:6">
      <c r="C44" s="368" t="s">
        <v>380</v>
      </c>
      <c r="D44" s="368"/>
    </row>
    <row r="45" spans="2:6">
      <c r="B45" s="2">
        <v>1.1000000000000001</v>
      </c>
      <c r="C45" t="s">
        <v>381</v>
      </c>
      <c r="D45" t="s">
        <v>391</v>
      </c>
      <c r="E45" s="2" t="s">
        <v>21</v>
      </c>
      <c r="F45" s="2">
        <v>1</v>
      </c>
    </row>
    <row r="46" spans="2:6">
      <c r="B46" s="2">
        <v>1.2</v>
      </c>
      <c r="C46" t="s">
        <v>383</v>
      </c>
      <c r="D46" t="s">
        <v>392</v>
      </c>
      <c r="E46" s="2" t="s">
        <v>21</v>
      </c>
      <c r="F46" s="2">
        <v>1</v>
      </c>
    </row>
    <row r="47" spans="2:6">
      <c r="B47" s="2">
        <v>1.3</v>
      </c>
      <c r="C47" t="s">
        <v>382</v>
      </c>
      <c r="D47" t="s">
        <v>393</v>
      </c>
      <c r="E47" s="2" t="s">
        <v>21</v>
      </c>
      <c r="F47" s="2">
        <v>2</v>
      </c>
    </row>
    <row r="48" spans="2:6">
      <c r="B48" s="2">
        <v>1.4</v>
      </c>
      <c r="C48" t="s">
        <v>384</v>
      </c>
      <c r="D48" t="s">
        <v>394</v>
      </c>
      <c r="E48" s="2" t="s">
        <v>21</v>
      </c>
      <c r="F48" s="2">
        <v>4</v>
      </c>
    </row>
    <row r="49" spans="2:6">
      <c r="B49" s="2">
        <v>1.5</v>
      </c>
      <c r="C49" t="s">
        <v>385</v>
      </c>
      <c r="D49" t="s">
        <v>395</v>
      </c>
      <c r="E49" s="2" t="s">
        <v>21</v>
      </c>
      <c r="F49" s="2">
        <v>2</v>
      </c>
    </row>
    <row r="50" spans="2:6">
      <c r="B50" s="2">
        <v>1.6</v>
      </c>
      <c r="C50" t="s">
        <v>386</v>
      </c>
      <c r="D50" t="s">
        <v>396</v>
      </c>
      <c r="E50" s="2" t="s">
        <v>21</v>
      </c>
      <c r="F50" s="2">
        <v>1</v>
      </c>
    </row>
    <row r="51" spans="2:6">
      <c r="B51" s="2">
        <v>1.7</v>
      </c>
      <c r="C51" t="s">
        <v>387</v>
      </c>
      <c r="D51" t="s">
        <v>397</v>
      </c>
      <c r="E51" s="2" t="s">
        <v>21</v>
      </c>
      <c r="F51" s="2">
        <v>28</v>
      </c>
    </row>
    <row r="53" spans="2:6">
      <c r="C53" s="368" t="s">
        <v>388</v>
      </c>
      <c r="D53" s="368"/>
    </row>
    <row r="54" spans="2:6">
      <c r="B54" s="2">
        <v>2.1</v>
      </c>
      <c r="C54" t="s">
        <v>381</v>
      </c>
      <c r="D54" t="s">
        <v>398</v>
      </c>
      <c r="E54" s="2" t="s">
        <v>21</v>
      </c>
      <c r="F54" s="2">
        <v>1</v>
      </c>
    </row>
    <row r="55" spans="2:6">
      <c r="B55" s="2">
        <v>2.2000000000000002</v>
      </c>
      <c r="C55" t="s">
        <v>389</v>
      </c>
      <c r="D55" t="s">
        <v>399</v>
      </c>
      <c r="E55" s="2" t="s">
        <v>21</v>
      </c>
      <c r="F55" s="2">
        <v>1</v>
      </c>
    </row>
    <row r="56" spans="2:6">
      <c r="B56" s="2">
        <v>2.2999999999999998</v>
      </c>
      <c r="C56" t="s">
        <v>384</v>
      </c>
      <c r="D56" t="s">
        <v>394</v>
      </c>
      <c r="E56" s="2" t="s">
        <v>21</v>
      </c>
      <c r="F56" s="2">
        <v>4</v>
      </c>
    </row>
    <row r="57" spans="2:6">
      <c r="B57" s="2">
        <v>2.4</v>
      </c>
      <c r="C57" t="s">
        <v>385</v>
      </c>
      <c r="D57" t="s">
        <v>395</v>
      </c>
      <c r="E57" s="2" t="s">
        <v>21</v>
      </c>
      <c r="F57" s="2">
        <v>2</v>
      </c>
    </row>
    <row r="58" spans="2:6">
      <c r="B58" s="2">
        <v>2.5</v>
      </c>
      <c r="C58" t="s">
        <v>386</v>
      </c>
      <c r="D58" t="s">
        <v>396</v>
      </c>
      <c r="E58" s="2" t="s">
        <v>21</v>
      </c>
      <c r="F58" s="2">
        <v>1</v>
      </c>
    </row>
    <row r="59" spans="2:6">
      <c r="B59" s="2">
        <v>2.6</v>
      </c>
      <c r="C59" t="s">
        <v>387</v>
      </c>
      <c r="D59" t="s">
        <v>397</v>
      </c>
      <c r="E59" s="2" t="s">
        <v>21</v>
      </c>
      <c r="F59" s="2">
        <v>14</v>
      </c>
    </row>
    <row r="61" spans="2:6">
      <c r="C61" s="368" t="s">
        <v>390</v>
      </c>
      <c r="D61" s="368"/>
    </row>
    <row r="62" spans="2:6">
      <c r="B62" s="2">
        <v>3.1</v>
      </c>
      <c r="C62" t="s">
        <v>381</v>
      </c>
      <c r="D62" t="s">
        <v>398</v>
      </c>
      <c r="E62" s="2" t="s">
        <v>21</v>
      </c>
      <c r="F62" s="2">
        <v>1</v>
      </c>
    </row>
    <row r="63" spans="2:6">
      <c r="B63" s="2">
        <v>3.2</v>
      </c>
      <c r="C63" t="s">
        <v>389</v>
      </c>
      <c r="D63" t="s">
        <v>399</v>
      </c>
      <c r="E63" s="2" t="s">
        <v>21</v>
      </c>
      <c r="F63" s="2">
        <v>1</v>
      </c>
    </row>
    <row r="64" spans="2:6">
      <c r="B64" s="2">
        <v>3.3</v>
      </c>
      <c r="C64" t="s">
        <v>402</v>
      </c>
      <c r="D64" t="s">
        <v>394</v>
      </c>
      <c r="E64" s="2" t="s">
        <v>21</v>
      </c>
      <c r="F64" s="2">
        <v>4</v>
      </c>
    </row>
    <row r="65" spans="2:6">
      <c r="B65" s="2">
        <v>3.4</v>
      </c>
      <c r="C65" t="s">
        <v>385</v>
      </c>
      <c r="D65" t="s">
        <v>395</v>
      </c>
      <c r="E65" s="2" t="s">
        <v>21</v>
      </c>
      <c r="F65" s="2">
        <v>2</v>
      </c>
    </row>
    <row r="66" spans="2:6">
      <c r="B66" s="2">
        <v>3.5</v>
      </c>
      <c r="C66" t="s">
        <v>386</v>
      </c>
      <c r="D66" t="s">
        <v>400</v>
      </c>
      <c r="E66" s="2" t="s">
        <v>21</v>
      </c>
      <c r="F66" s="2">
        <v>1</v>
      </c>
    </row>
    <row r="67" spans="2:6">
      <c r="B67" s="2">
        <v>3.6</v>
      </c>
      <c r="C67" t="s">
        <v>387</v>
      </c>
      <c r="D67" t="s">
        <v>401</v>
      </c>
      <c r="E67" s="2" t="s">
        <v>21</v>
      </c>
      <c r="F67" s="2">
        <v>11</v>
      </c>
    </row>
    <row r="68" spans="2:6">
      <c r="B68" s="2">
        <v>8</v>
      </c>
      <c r="C68" t="s">
        <v>403</v>
      </c>
      <c r="E68" s="2" t="s">
        <v>21</v>
      </c>
      <c r="F68" s="2">
        <v>10</v>
      </c>
    </row>
    <row r="69" spans="2:6">
      <c r="B69" s="2">
        <v>9</v>
      </c>
      <c r="C69" t="s">
        <v>404</v>
      </c>
      <c r="D69" t="s">
        <v>405</v>
      </c>
      <c r="E69" s="2" t="s">
        <v>21</v>
      </c>
      <c r="F69" s="2">
        <v>45</v>
      </c>
    </row>
    <row r="71" spans="2:6">
      <c r="B71" s="2">
        <v>10</v>
      </c>
      <c r="C71" t="s">
        <v>406</v>
      </c>
      <c r="F71" s="2">
        <v>6</v>
      </c>
    </row>
    <row r="72" spans="2:6">
      <c r="B72" s="2">
        <v>11</v>
      </c>
      <c r="C72" t="s">
        <v>407</v>
      </c>
      <c r="F72" s="2">
        <v>4</v>
      </c>
    </row>
    <row r="73" spans="2:6">
      <c r="B73" s="2">
        <v>12</v>
      </c>
      <c r="C73" t="s">
        <v>408</v>
      </c>
      <c r="F73" s="2">
        <v>2</v>
      </c>
    </row>
    <row r="74" spans="2:6">
      <c r="B74" s="2">
        <v>13</v>
      </c>
      <c r="C74" t="s">
        <v>409</v>
      </c>
      <c r="F74" s="2">
        <v>1</v>
      </c>
    </row>
    <row r="75" spans="2:6">
      <c r="B75" s="2">
        <v>14</v>
      </c>
      <c r="C75" t="s">
        <v>410</v>
      </c>
      <c r="F75" s="2">
        <v>6</v>
      </c>
    </row>
    <row r="76" spans="2:6">
      <c r="B76" s="2">
        <v>15</v>
      </c>
      <c r="C76" t="s">
        <v>411</v>
      </c>
      <c r="F76" s="2">
        <v>66</v>
      </c>
    </row>
    <row r="77" spans="2:6">
      <c r="B77" s="2">
        <v>16</v>
      </c>
      <c r="C77" t="s">
        <v>412</v>
      </c>
      <c r="D77" t="s">
        <v>422</v>
      </c>
      <c r="F77" s="2">
        <v>4</v>
      </c>
    </row>
    <row r="78" spans="2:6">
      <c r="B78" s="2">
        <v>17</v>
      </c>
      <c r="C78" t="s">
        <v>413</v>
      </c>
      <c r="F78" s="2">
        <v>2</v>
      </c>
    </row>
    <row r="81" spans="2:6">
      <c r="C81" t="s">
        <v>414</v>
      </c>
    </row>
    <row r="82" spans="2:6">
      <c r="B82" s="2">
        <v>18</v>
      </c>
      <c r="C82" t="s">
        <v>415</v>
      </c>
      <c r="D82" s="369" t="s">
        <v>423</v>
      </c>
      <c r="F82" s="2">
        <v>65</v>
      </c>
    </row>
    <row r="83" spans="2:6">
      <c r="B83" s="2">
        <v>19</v>
      </c>
      <c r="C83" t="s">
        <v>424</v>
      </c>
      <c r="D83" s="369" t="s">
        <v>423</v>
      </c>
      <c r="F83" s="2">
        <v>347</v>
      </c>
    </row>
    <row r="84" spans="2:6">
      <c r="B84" s="2">
        <v>20</v>
      </c>
      <c r="C84" t="s">
        <v>416</v>
      </c>
      <c r="D84" s="369" t="s">
        <v>423</v>
      </c>
      <c r="F84" s="2">
        <v>741</v>
      </c>
    </row>
    <row r="85" spans="2:6">
      <c r="B85" s="2">
        <v>21</v>
      </c>
      <c r="C85" t="s">
        <v>419</v>
      </c>
      <c r="D85" s="369" t="s">
        <v>423</v>
      </c>
      <c r="F85" s="2">
        <v>782</v>
      </c>
    </row>
    <row r="86" spans="2:6">
      <c r="B86" s="2">
        <v>22</v>
      </c>
      <c r="C86" t="s">
        <v>418</v>
      </c>
      <c r="D86" s="369" t="s">
        <v>423</v>
      </c>
      <c r="F86" s="2">
        <v>384</v>
      </c>
    </row>
    <row r="87" spans="2:6">
      <c r="B87" s="2">
        <v>23</v>
      </c>
      <c r="C87" t="s">
        <v>417</v>
      </c>
      <c r="D87" s="369" t="s">
        <v>423</v>
      </c>
      <c r="F87" s="2">
        <v>691</v>
      </c>
    </row>
    <row r="89" spans="2:6">
      <c r="B89" s="2">
        <v>24</v>
      </c>
      <c r="C89" t="s">
        <v>420</v>
      </c>
      <c r="D89" t="s">
        <v>421</v>
      </c>
      <c r="F89" s="2">
        <v>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ხ.2-1-1</vt:lpstr>
      <vt:lpstr>ხ.4. გარე კანალიზაცია</vt:lpstr>
      <vt:lpstr>ხ. 5 დრენაჟი</vt:lpstr>
      <vt:lpstr>მოცულ. რ.ბ</vt:lpstr>
      <vt:lpstr>მოცულ. არქიტ.</vt:lpstr>
      <vt:lpstr>საინჟინრო  მოცულობა</vt:lpstr>
      <vt:lpstr>'ხ. 5 დრენაჟი'!Print_Area</vt:lpstr>
      <vt:lpstr>'ხ.2-1-1'!Print_Area</vt:lpstr>
      <vt:lpstr>'ხ.4. გარე კანალიზაცია'!Print_Area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2022-11-02T19:13:43Z</dcterms:modified>
</cp:coreProperties>
</file>